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76" windowHeight="9996" activeTab="2"/>
  </bookViews>
  <sheets>
    <sheet name="มัฐยม 68" sheetId="1" r:id="rId1"/>
    <sheet name="ปฐมวัย 68" sheetId="2" r:id="rId2"/>
    <sheet name="ประถม 67" sheetId="3" r:id="rId3"/>
    <sheet name="หอพักอู่ทอง 68" sheetId="4" r:id="rId4"/>
    <sheet name="บัณฑิตวิทยาลัย 68" sheetId="5" r:id="rId5"/>
    <sheet name="สวนหลวง 68" sheetId="6" r:id="rId6"/>
    <sheet name="ตลาดนัด" sheetId="7" state="hidden" r:id="rId7"/>
    <sheet name="ภาคฤดูร้อน" sheetId="8" state="hidden" r:id="rId8"/>
    <sheet name="ศูนย์หนังสือ" sheetId="9" state="hidden" r:id="rId9"/>
    <sheet name="อื่นๆ" sheetId="10" r:id="rId10"/>
  </sheets>
  <definedNames>
    <definedName name="_xlnm.Print_Area" localSheetId="1">'ปฐมวัย 68'!$A$1:$U$24</definedName>
    <definedName name="_xlnm.Print_Area" localSheetId="2">'ประถม 67'!$A$1:$Y$21</definedName>
    <definedName name="_xlnm.Print_Area" localSheetId="0">'มัฐยม 68'!$A$1:$R$23</definedName>
    <definedName name="_xlnm.Print_Area" localSheetId="5">'สวนหลวง 68'!$A$1:$E$20</definedName>
    <definedName name="_xlnm.Print_Area" localSheetId="9">'อื่นๆ'!$A$1:$H$46</definedName>
  </definedNames>
  <calcPr fullCalcOnLoad="1"/>
</workbook>
</file>

<file path=xl/comments7.xml><?xml version="1.0" encoding="utf-8"?>
<comments xmlns="http://schemas.openxmlformats.org/spreadsheetml/2006/main">
  <authors>
    <author>ICT</author>
  </authors>
  <commentList>
    <comment ref="B13" authorId="0">
      <text>
        <r>
          <rPr>
            <b/>
            <sz val="9"/>
            <rFont val="Tahoma"/>
            <family val="0"/>
          </rPr>
          <t>ประมาณการรายรับเดือนละ 337600บาทต่อเดือน *12 เดือน</t>
        </r>
      </text>
    </comment>
    <comment ref="C13" authorId="0">
      <text>
        <r>
          <rPr>
            <b/>
            <sz val="9"/>
            <rFont val="Tahoma"/>
            <family val="0"/>
          </rPr>
          <t>ค่าใช้จ่ายเดือนละ 120,000 บาท*12 เดือน</t>
        </r>
      </text>
    </comment>
    <comment ref="D13" authorId="0">
      <text>
        <r>
          <rPr>
            <b/>
            <sz val="9"/>
            <rFont val="Tahoma"/>
            <family val="0"/>
          </rPr>
          <t>ประมาณการรายรับเฉลี่ยปี 2560 ระหว่างเดือน ต.ค.59-พ.ค.60</t>
        </r>
      </text>
    </comment>
  </commentList>
</comments>
</file>

<file path=xl/sharedStrings.xml><?xml version="1.0" encoding="utf-8"?>
<sst xmlns="http://schemas.openxmlformats.org/spreadsheetml/2006/main" count="652" uniqueCount="253">
  <si>
    <t>รวม 2 ภาคเรียน</t>
  </si>
  <si>
    <t>ระดับชั้น</t>
  </si>
  <si>
    <t>จำนวน(คน)</t>
  </si>
  <si>
    <t>งบประมาณ</t>
  </si>
  <si>
    <t>เตรียมปฐมวัย (1)</t>
  </si>
  <si>
    <t>เตรียมปฐมวัย (2)</t>
  </si>
  <si>
    <t>ปฐมวัย 1/1</t>
  </si>
  <si>
    <t>ปฐมวัย 1/2</t>
  </si>
  <si>
    <t>ปฐมวัย 2/1</t>
  </si>
  <si>
    <t>ปฐมวัย 2/2</t>
  </si>
  <si>
    <t>ปฐมวัย 3/1</t>
  </si>
  <si>
    <t>ปฐมวัย 3/2</t>
  </si>
  <si>
    <t>รวม</t>
  </si>
  <si>
    <t>สำรองจ่าย   20%</t>
  </si>
  <si>
    <t>สาธารณูปโภค  10%</t>
  </si>
  <si>
    <t>คงเหลือตั้งงบประมาณรายจ่าย 70%</t>
  </si>
  <si>
    <t>ข้อมูล  ณ  วันที่……………………………………..</t>
  </si>
  <si>
    <t>ป.1</t>
  </si>
  <si>
    <t>ป.2</t>
  </si>
  <si>
    <t>ป.3</t>
  </si>
  <si>
    <t>ป.4</t>
  </si>
  <si>
    <t>ป.5</t>
  </si>
  <si>
    <t>ป.6</t>
  </si>
  <si>
    <t>สำรองจ่าย 20%</t>
  </si>
  <si>
    <t>สาธารณูปโภค 10%</t>
  </si>
  <si>
    <t>ชั้น ม.1</t>
  </si>
  <si>
    <t>ชั้น ม.3</t>
  </si>
  <si>
    <t>รวม ม.ต้น</t>
  </si>
  <si>
    <t>ชั้น ม.4</t>
  </si>
  <si>
    <t>ชั้น ม.5</t>
  </si>
  <si>
    <t>ชั้น ม.6</t>
  </si>
  <si>
    <t>รวม ม.ปลาย</t>
  </si>
  <si>
    <t>รวม ม.ต้น,ม.ปลาย</t>
  </si>
  <si>
    <t>รวมรับเงิน 100%</t>
  </si>
  <si>
    <t>ชั้น ม.2</t>
  </si>
  <si>
    <t>สาขา</t>
  </si>
  <si>
    <t>รวม 3 ภาคเรียน</t>
  </si>
  <si>
    <t>ค่าลงทะเบียน</t>
  </si>
  <si>
    <t>รวมทั้งสิ้น</t>
  </si>
  <si>
    <t>การบริหารการศึกษา</t>
  </si>
  <si>
    <t>การจัดการการเรียนรู้</t>
  </si>
  <si>
    <t>รัฐประศาสนศาสตร์</t>
  </si>
  <si>
    <t>มหาวิทยาลัยราชภัฏพระนครศรีอยุธยา</t>
  </si>
  <si>
    <t>โรงเรียนสาธิตปฐมวัย</t>
  </si>
  <si>
    <t>โรงเรียนประถมสาธิต</t>
  </si>
  <si>
    <t>โรงเรียนสาธิตมัธยม</t>
  </si>
  <si>
    <t>การจัดการศึกษาระดับบัณฑิตศึกษา (งบบันฑิตศึกษา)</t>
  </si>
  <si>
    <t>บริหารธุรกิจ จ-พ-ศ</t>
  </si>
  <si>
    <t>บริหารธุรกิจ ส-อา</t>
  </si>
  <si>
    <t>บริหารการศึกษา</t>
  </si>
  <si>
    <t>รวมปริญญาโท</t>
  </si>
  <si>
    <t>รวมปริญญาเอก</t>
  </si>
  <si>
    <t>รวมปริญญาโทและปริญญาเอก</t>
  </si>
  <si>
    <t>หอ</t>
  </si>
  <si>
    <t>ประเภทห้อง</t>
  </si>
  <si>
    <t>จำนวนห้อง</t>
  </si>
  <si>
    <t>จำนวนคน</t>
  </si>
  <si>
    <t>ค่าห้องพักคนละ/ภาคเรียน(4เดือน)</t>
  </si>
  <si>
    <t>ภาคเรียนที่</t>
  </si>
  <si>
    <t>รายรับ(บาท)</t>
  </si>
  <si>
    <t>ห้องเดี่ยว(พัดลม)</t>
  </si>
  <si>
    <t>ห้องคู่ 2 คน(พัดลม)</t>
  </si>
  <si>
    <t>ห้องคู่ 2 คน(ปรับอากาศ)</t>
  </si>
  <si>
    <t>หอพักนักศึกษา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</si>
  <si>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</si>
  <si>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</si>
  <si>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</si>
  <si>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</si>
  <si>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</si>
  <si>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</si>
  <si>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</si>
  <si>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</si>
  <si>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</si>
  <si>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</si>
  <si>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</si>
  <si>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</si>
  <si>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เดือน</t>
  </si>
  <si>
    <t>รวททั้งสิ้น</t>
  </si>
  <si>
    <t>ค่าบำรุงสถานที่จำหน่ายสินค้าบริเวณตลาดนัดวันเสาร์และวันอาทิตย์</t>
  </si>
  <si>
    <t>ค่าบริการ/คืน</t>
  </si>
  <si>
    <t>ผู้เข้าใช้บริการ</t>
  </si>
  <si>
    <t>ห้องสัมนา 40-50คน (ครึ่งวัน)</t>
  </si>
  <si>
    <t>ห้องสัมนา 50-80คน (ครึ่งวัน)</t>
  </si>
  <si>
    <t>ห้องสัมนา 50-80คน (เต็มวัน)</t>
  </si>
  <si>
    <t>ห้องสัมนา 40-50คน (เต็มวัน)</t>
  </si>
  <si>
    <t>ห้องสัมนา 80-100คน</t>
  </si>
  <si>
    <t>ห้องพักคู่ 2 คน</t>
  </si>
  <si>
    <t>ห้องพักรวม 5 คน</t>
  </si>
  <si>
    <t xml:space="preserve"> ศูนย์ฝึกปฏิบัติการวิชาชีพธุรกิจ ( อาคารสวนหลวง)</t>
  </si>
  <si>
    <t>ประเภทงบประมาณ</t>
  </si>
  <si>
    <t>จำนวนร้านค้า</t>
  </si>
  <si>
    <t>ประมาณการ</t>
  </si>
  <si>
    <t>สำรองจ่าย</t>
  </si>
  <si>
    <t xml:space="preserve">งบประมาณรายจ่าย </t>
  </si>
  <si>
    <t>งบประมาณรายจ่ายทั้งสิ้น</t>
  </si>
  <si>
    <t>รายรับ</t>
  </si>
  <si>
    <t>ค่าสาธารณูปโภค</t>
  </si>
  <si>
    <t>ตลาดใหญ่</t>
  </si>
  <si>
    <t>ตลาดเหมา</t>
  </si>
  <si>
    <t>ร้านค้าจร</t>
  </si>
  <si>
    <t>(บาท)</t>
  </si>
  <si>
    <t>งบเงินรายได้จากเงินผลประโยชน์</t>
  </si>
  <si>
    <t xml:space="preserve">          การใช้ประโยชน์จากที่ราชพัสดุ </t>
  </si>
  <si>
    <t>รายการ</t>
  </si>
  <si>
    <t>ภาคฤดูร้อน</t>
  </si>
  <si>
    <t>จำนวน</t>
  </si>
  <si>
    <t>ค่าบำรุง</t>
  </si>
  <si>
    <t>ค่า</t>
  </si>
  <si>
    <t>ธรรมเนียม</t>
  </si>
  <si>
    <t>การศึกษา</t>
  </si>
  <si>
    <t>กีฬา</t>
  </si>
  <si>
    <t>พยาบาล</t>
  </si>
  <si>
    <t>ห้องสมุด</t>
  </si>
  <si>
    <t>IT</t>
  </si>
  <si>
    <t>หน่วยกิต</t>
  </si>
  <si>
    <t>พิเศษ</t>
  </si>
  <si>
    <t>ภาคเรียนละ</t>
  </si>
  <si>
    <t>ปีละ</t>
  </si>
  <si>
    <t>ภารเรียนละ</t>
  </si>
  <si>
    <t>ปีการศึกษาละ</t>
  </si>
  <si>
    <t>บรรยาย
หน่วยกิตละ</t>
  </si>
  <si>
    <t>ภาคปฏิบัติหน่วยกิตละ</t>
  </si>
  <si>
    <t>เฉลี่ยภาคเรียนละ</t>
  </si>
  <si>
    <t>คน</t>
  </si>
  <si>
    <t>บรรยาย</t>
  </si>
  <si>
    <t>ปฏิบัติ</t>
  </si>
  <si>
    <t>ฝึกงาน</t>
  </si>
  <si>
    <t>นักศึกษาการจัดการภาคฤดูร้อน</t>
  </si>
  <si>
    <t>ค่าสาธารณูปโภค 10%</t>
  </si>
  <si>
    <t>จัดสรร 70%</t>
  </si>
  <si>
    <t>ตั้งงบประมาณ 80%</t>
  </si>
  <si>
    <t>*ข้อมูลการประมาจำนวนนักศึกษาการจากกองบริกาการศึกษา</t>
  </si>
  <si>
    <t>*ข้อมูล ณ วันที่....................</t>
  </si>
  <si>
    <t>ข้อมูลทางการเงินศูนย์หนังสือมหาวิทยาลัยราชภัฏพระนครศรีอยุธยา</t>
  </si>
  <si>
    <t>รายรับจริง</t>
  </si>
  <si>
    <t>ประมาณการรายรับ</t>
  </si>
  <si>
    <t xml:space="preserve">ประจำปีงบประมาณ พ.ศ. </t>
  </si>
  <si>
    <t>รายจ่ายจริง</t>
  </si>
  <si>
    <t>ประมาณการรายจ่าย</t>
  </si>
  <si>
    <t>กำไรจริง</t>
  </si>
  <si>
    <t>ประมาณการกำไร</t>
  </si>
  <si>
    <t xml:space="preserve">ประจำปีงบประมาณ พ.ศ 2553 - 2561 </t>
  </si>
  <si>
    <t>ปริมาณรายการ</t>
  </si>
  <si>
    <t>อัตราค่าเช่า</t>
  </si>
  <si>
    <t>ระยะเวลา/จำนวนครั้งในการบริการ</t>
  </si>
  <si>
    <t>รวมเป็นเงินงบประมาณ</t>
  </si>
  <si>
    <t>หมายเหตุ</t>
  </si>
  <si>
    <t>ปริมาณ</t>
  </si>
  <si>
    <t>หน่วย</t>
  </si>
  <si>
    <t>จำนวนเงิน</t>
  </si>
  <si>
    <t>หน่วยนับ</t>
  </si>
  <si>
    <t>อัตรา</t>
  </si>
  <si>
    <t>ซุ้มกาแฟ</t>
  </si>
  <si>
    <t>- อาคาร 1 (คมส)</t>
  </si>
  <si>
    <t>ร้าน</t>
  </si>
  <si>
    <t>บาท</t>
  </si>
  <si>
    <t>- หน้าสำนักวิทยาบริการฯ</t>
  </si>
  <si>
    <t>- ข้างอาคาร 100 ปี</t>
  </si>
  <si>
    <t>- กองพัฒนานักศึกษา</t>
  </si>
  <si>
    <t>ซุ้มโค้ก</t>
  </si>
  <si>
    <t>- ข้างสนามฟุตบอล</t>
  </si>
  <si>
    <t>- ข้างฝ่ายยานพาหนะ</t>
  </si>
  <si>
    <t>- ข้างกองพัฒนานักศึกษา</t>
  </si>
  <si>
    <t>- ด้านหลังคณะวิทยาการจัดการ</t>
  </si>
  <si>
    <t>ร้านสะดวกซื้อ</t>
  </si>
  <si>
    <t>- ข้างสนามฟุตบอล (ดิเรก)</t>
  </si>
  <si>
    <t>- ร้าน 108 Shop</t>
  </si>
  <si>
    <t>ร้านถ่ายเอกสาร</t>
  </si>
  <si>
    <t>- ตรงข้างโรงอาหาร (ร้าน RY Copy One)</t>
  </si>
  <si>
    <t>- ตรงข้างโรงอาหาร (ร้านชัยพฤกษ์)</t>
  </si>
  <si>
    <t>- ด้านหลังคณะวิทยาการจัดการ (ร้านบ้านงาน)</t>
  </si>
  <si>
    <t>โรงอาหาร</t>
  </si>
  <si>
    <t>- อาคารเรียนและปฏิบัติการรวม</t>
  </si>
  <si>
    <t>- อาคารโรงอาหารด้านข้างหอประชุม</t>
  </si>
  <si>
    <t>รายได้อื่น ๆ</t>
  </si>
  <si>
    <t>- ร้านนุชจรินทร์ (ข้างร้านดอกไม้ใบตองเดิม)</t>
  </si>
  <si>
    <t>- ร้านกัญญา (ข้างร้านดอกไม้ใบตองเดิม)</t>
  </si>
  <si>
    <t>- ร้านซ่อมนาฬิกา (ข้างโรงอาหาร)</t>
  </si>
  <si>
    <t>- ส่วนแบ่งจากจุดบริการเครื่องชั่งน้ำหนัก (30% จากรายรับ)</t>
  </si>
  <si>
    <t>ยอดประมาณการ</t>
  </si>
  <si>
    <t>- ส่วนแบ่งจากการจำหน่ายน้ำดื่มราชภัฏฯ</t>
  </si>
  <si>
    <t>งาน</t>
  </si>
  <si>
    <t>- ตู้กดเงินสด (บริเวณด้านหน้ามหาวิทยาลัย)</t>
  </si>
  <si>
    <t>เครื่อง</t>
  </si>
  <si>
    <t>- หอประชุมมหาวิทยาลัย</t>
  </si>
  <si>
    <t>- ห้องประชุม อาคาร 100 ปี</t>
  </si>
  <si>
    <t>- ห้องประชุม 317</t>
  </si>
  <si>
    <t>- ห้องประชุมต้นโมก</t>
  </si>
  <si>
    <t>- ห้องประชุมศูนย์การศึกษาพิเศษ</t>
  </si>
  <si>
    <t>- ห้องประชุมคณะวิทยาการจัดการ</t>
  </si>
  <si>
    <t>- ห้องประชุมศูนย์วิทยาศาสตร์</t>
  </si>
  <si>
    <t>- สนามกีฬา</t>
  </si>
  <si>
    <t>การให้บริการห้องประชุม/สนามกีฬา</t>
  </si>
  <si>
    <t>- สถานที่จัดสอบ</t>
  </si>
  <si>
    <t>- ค่าบริการถ่ายเอกสาร</t>
  </si>
  <si>
    <t>- ค่าบริการจากการให้เช่าพื้นที่</t>
  </si>
  <si>
    <t>รายได้ของสำนักวิทบริการและเทศโนโลยีสารสนเทศ</t>
  </si>
  <si>
    <t>- ค่าบริการจากการจัดสถานที่สอบ</t>
  </si>
  <si>
    <t>เข้าปี 65</t>
  </si>
  <si>
    <t xml:space="preserve">          -  ตลาดนัด</t>
  </si>
  <si>
    <t xml:space="preserve">          -  โรงอาหาร</t>
  </si>
  <si>
    <t>ประมาณการรายรับ ประจำปีงบประมาณ พ.ศ.2566</t>
  </si>
  <si>
    <t xml:space="preserve"> 2/2565</t>
  </si>
  <si>
    <t xml:space="preserve"> 1/2566</t>
  </si>
  <si>
    <t xml:space="preserve">ข้อมูล  ณ  วันที่ </t>
  </si>
  <si>
    <t>ข้อมูล  ณ  วันที่</t>
  </si>
  <si>
    <t>เข้าปี 66</t>
  </si>
  <si>
    <t>ประมาณการรายรับ ประจำปีงบประมาณ พ.ศ.2567</t>
  </si>
  <si>
    <t xml:space="preserve"> 2/2566</t>
  </si>
  <si>
    <t xml:space="preserve"> 1/2567</t>
  </si>
  <si>
    <t>ภาคเรียนที่ 1/2567</t>
  </si>
  <si>
    <t>เข้าปี 67</t>
  </si>
  <si>
    <t xml:space="preserve">ประมาณการรายรับ </t>
  </si>
  <si>
    <t>หน่วย : บาท</t>
  </si>
  <si>
    <t>ค่าใช้จ่ายตามประกาศมหาวิทยาลัยฯ ที่ 634/2566</t>
  </si>
  <si>
    <t>2.1 , 3.1 ค่าบำรุงและค่าใช้จ่ายอื่น</t>
  </si>
  <si>
    <t>2.2 , 3.2 ค่าอาหารกลางวันและอาหารเสริม</t>
  </si>
  <si>
    <t>2.5 , 3.4 ค่าธรรมเนียมหลักสูตรภาษาอังกฤษ</t>
  </si>
  <si>
    <t>1.5 ค่ากจิรรมปรับพื้นฐาน</t>
  </si>
  <si>
    <t>2.4 , 3.3 ค่าประกันอุบัติเหตุ</t>
  </si>
  <si>
    <t>คิดเป็นเงิน</t>
  </si>
  <si>
    <t>-</t>
  </si>
  <si>
    <t>รวมรับเงิน 100% รายการ 2.1 2.5 3.1 3.4</t>
  </si>
  <si>
    <t>รวมรับเงิน 100% รายการ 1.5 2.1 2.5 3.1 3.4</t>
  </si>
  <si>
    <t>รวมรับเงิน 100% รายการ 2..2 3.2</t>
  </si>
  <si>
    <t xml:space="preserve"> ค่าใช้จ่ายตามประกาศมหาวิทยาลัยฯ ที่ 635/2566</t>
  </si>
  <si>
    <t>2.1 , 4.1 ,5.1 ค่าบำรุงและต่าใช้จ่ายอื่น</t>
  </si>
  <si>
    <t>1.1 , 4 ค่าธรรมเนียมแรกเข้า</t>
  </si>
  <si>
    <t>1.3 ห้องเรียนพิเศษ</t>
  </si>
  <si>
    <t>2.1 , 4.1 ,5.1 ค่าบำรุงและค่าใช้จ่ายอื่น</t>
  </si>
  <si>
    <t>2.2 , 4.2 , 5.2 ค่าประกันอุบัติเหคุ</t>
  </si>
  <si>
    <t>รวมรับเงิน 100% ค่าบำรุงการศึกษา</t>
  </si>
  <si>
    <t>รวมรับเงิน 100% ค่าประกันอุบัติเหตุ</t>
  </si>
  <si>
    <t xml:space="preserve"> ค่าใช้จ่ายตามประกาศมหาวิทยาลัยฯ ที่ 633/2566</t>
  </si>
  <si>
    <t>2.1 ค่าบำรุง และค่าใช้จ่ายอื่น</t>
  </si>
  <si>
    <t>2.2 ค่าอาหารกลางวันว่าง/นม</t>
  </si>
  <si>
    <t>2.3 ค่าประกันอุบัติเหตุ</t>
  </si>
  <si>
    <t>2.4 ค่าธรรมเนียมหลักสูตรภาษา</t>
  </si>
  <si>
    <t>ข้อมูล  ณ  วันที่…</t>
  </si>
  <si>
    <t>รวมรับเงิน 100% ค่าบำรุงและค่าใช้จ่ายอื่น</t>
  </si>
  <si>
    <t>รวมรับเงิน 100% ค่าอาหารและค่าประกันอุบัติเหตุ</t>
  </si>
  <si>
    <t>จำนวน (คน)</t>
  </si>
  <si>
    <t>ประมาณการรายรับ ประจำปีงบประมาณ พ.ศ.2568</t>
  </si>
  <si>
    <t xml:space="preserve"> 2/2567</t>
  </si>
  <si>
    <t xml:space="preserve"> 1/2568</t>
  </si>
  <si>
    <t>ภาคเรียนที่ 2/2567</t>
  </si>
  <si>
    <t>ภาคเรียนที่ 3/2567</t>
  </si>
  <si>
    <t>เข้าปี 68</t>
  </si>
  <si>
    <t>ประจำปีงบประมาณ พ.ศ.2568</t>
  </si>
  <si>
    <t>ประจำปีงบประมาณ 2568</t>
  </si>
  <si>
    <t>ภาคเรียนที่ 1/2568</t>
  </si>
  <si>
    <t>ประมาณการรายรับ ประจำปีงบประมาณ พ.ศ. 2568</t>
  </si>
  <si>
    <t>ภาคเรียนที่  2/2567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</si>
</sst>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.0_-;\-* #,##0.0_-;_-* &quot;-&quot;??_-;_-@_-"/>
    <numFmt numFmtId="204" formatCode="_-* #,##0_-;\-* #,##0_-;_-* &quot;-&quot;??_-;_-@_-"/>
    <numFmt numFmtId="205" formatCode="[$-F800]dddd\,\ mmmm\ dd\,\ yyyy"/>
  </numFmts>
  <fonts count="6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AngsanaUPC"/>
      <family val="1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4"/>
      <name val="CordiaUPC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นูลมรผ"/>
      <family val="0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b/>
      <sz val="9"/>
      <name val="Tahoma"/>
      <family val="0"/>
    </font>
    <font>
      <b/>
      <sz val="10"/>
      <name val="Arial"/>
      <family val="2"/>
    </font>
    <font>
      <sz val="18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2"/>
      <name val="TH SarabunPSK"/>
      <family val="2"/>
    </font>
    <font>
      <sz val="15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b/>
      <sz val="20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u val="single"/>
      <sz val="16"/>
      <color indexed="9"/>
      <name val="TH SarabunPSK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6600CC"/>
      <name val="TH SarabunPSK"/>
      <family val="2"/>
    </font>
    <font>
      <sz val="15"/>
      <color theme="1"/>
      <name val="TH SarabunPSK"/>
      <family val="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  <font>
      <b/>
      <sz val="20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u val="single"/>
      <sz val="16"/>
      <color theme="0"/>
      <name val="TH SarabunPSK"/>
      <family val="2"/>
    </font>
    <font>
      <sz val="14"/>
      <color theme="1"/>
      <name val="TH SarabunPSK"/>
      <family val="2"/>
    </font>
    <font>
      <b/>
      <sz val="8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9" fontId="3" fillId="0" borderId="0">
      <alignment/>
      <protection/>
    </xf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Alignment="0" applyProtection="0"/>
    <xf numFmtId="0" fontId="10" fillId="0" borderId="4">
      <alignment horizontal="left" vertical="center"/>
      <protection/>
    </xf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8" applyNumberFormat="0" applyFill="0" applyAlignment="0" applyProtection="0"/>
    <xf numFmtId="0" fontId="17" fillId="4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41" borderId="9" applyNumberFormat="0" applyFont="0" applyAlignment="0" applyProtection="0"/>
    <xf numFmtId="0" fontId="18" fillId="38" borderId="10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1" fillId="42" borderId="12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43" borderId="13" applyNumberFormat="0" applyAlignment="0" applyProtection="0"/>
    <xf numFmtId="0" fontId="46" fillId="0" borderId="14" applyNumberFormat="0" applyFill="0" applyAlignment="0" applyProtection="0"/>
    <xf numFmtId="0" fontId="47" fillId="44" borderId="0" applyNumberFormat="0" applyBorder="0" applyAlignment="0" applyProtection="0"/>
    <xf numFmtId="9" fontId="23" fillId="0" borderId="0" applyFont="0" applyFill="0" applyBorder="0" applyAlignment="0" applyProtection="0"/>
    <xf numFmtId="0" fontId="48" fillId="45" borderId="12" applyNumberFormat="0" applyAlignment="0" applyProtection="0"/>
    <xf numFmtId="0" fontId="49" fillId="46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15" applyNumberFormat="0" applyFill="0" applyAlignment="0" applyProtection="0"/>
    <xf numFmtId="0" fontId="51" fillId="47" borderId="0" applyNumberFormat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52" fillId="42" borderId="16" applyNumberFormat="0" applyAlignment="0" applyProtection="0"/>
    <xf numFmtId="0" fontId="0" fillId="54" borderId="17" applyNumberFormat="0" applyFont="0" applyAlignment="0" applyProtection="0"/>
    <xf numFmtId="0" fontId="53" fillId="0" borderId="18" applyNumberFormat="0" applyFill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5" fillId="0" borderId="0" applyNumberFormat="0" applyFill="0" applyBorder="0" applyAlignment="0" applyProtection="0"/>
  </cellStyleXfs>
  <cellXfs count="359">
    <xf numFmtId="0" fontId="0" fillId="0" borderId="0" xfId="0" applyFont="1" applyAlignment="1">
      <alignment/>
    </xf>
    <xf numFmtId="0" fontId="56" fillId="0" borderId="0" xfId="107" applyFont="1">
      <alignment/>
      <protection/>
    </xf>
    <xf numFmtId="3" fontId="25" fillId="13" borderId="21" xfId="107" applyNumberFormat="1" applyFont="1" applyFill="1" applyBorder="1" applyAlignment="1">
      <alignment horizontal="center"/>
      <protection/>
    </xf>
    <xf numFmtId="0" fontId="26" fillId="13" borderId="21" xfId="107" applyFont="1" applyFill="1" applyBorder="1" applyAlignment="1">
      <alignment horizontal="center"/>
      <protection/>
    </xf>
    <xf numFmtId="0" fontId="24" fillId="18" borderId="21" xfId="107" applyFont="1" applyFill="1" applyBorder="1" applyAlignment="1">
      <alignment horizontal="center"/>
      <protection/>
    </xf>
    <xf numFmtId="204" fontId="24" fillId="55" borderId="21" xfId="81" applyNumberFormat="1" applyFont="1" applyFill="1" applyBorder="1" applyAlignment="1">
      <alignment horizontal="center"/>
    </xf>
    <xf numFmtId="204" fontId="57" fillId="55" borderId="21" xfId="81" applyNumberFormat="1" applyFont="1" applyFill="1" applyBorder="1" applyAlignment="1">
      <alignment/>
    </xf>
    <xf numFmtId="204" fontId="57" fillId="56" borderId="21" xfId="81" applyNumberFormat="1" applyFont="1" applyFill="1" applyBorder="1" applyAlignment="1">
      <alignment/>
    </xf>
    <xf numFmtId="3" fontId="56" fillId="0" borderId="0" xfId="107" applyNumberFormat="1" applyFont="1">
      <alignment/>
      <protection/>
    </xf>
    <xf numFmtId="3" fontId="56" fillId="0" borderId="0" xfId="107" applyNumberFormat="1" applyFont="1" applyAlignment="1">
      <alignment horizontal="center"/>
      <protection/>
    </xf>
    <xf numFmtId="0" fontId="58" fillId="0" borderId="0" xfId="107" applyFont="1">
      <alignment/>
      <protection/>
    </xf>
    <xf numFmtId="0" fontId="59" fillId="13" borderId="21" xfId="107" applyFont="1" applyFill="1" applyBorder="1" applyAlignment="1">
      <alignment horizontal="center"/>
      <protection/>
    </xf>
    <xf numFmtId="0" fontId="59" fillId="13" borderId="21" xfId="107" applyFont="1" applyFill="1" applyBorder="1" applyAlignment="1">
      <alignment horizontal="center" vertical="center"/>
      <protection/>
    </xf>
    <xf numFmtId="0" fontId="59" fillId="18" borderId="21" xfId="107" applyFont="1" applyFill="1" applyBorder="1" applyAlignment="1">
      <alignment horizontal="center" vertical="center"/>
      <protection/>
    </xf>
    <xf numFmtId="0" fontId="59" fillId="18" borderId="21" xfId="107" applyFont="1" applyFill="1" applyBorder="1" applyAlignment="1">
      <alignment horizontal="center"/>
      <protection/>
    </xf>
    <xf numFmtId="0" fontId="59" fillId="0" borderId="0" xfId="107" applyFont="1">
      <alignment/>
      <protection/>
    </xf>
    <xf numFmtId="0" fontId="59" fillId="0" borderId="0" xfId="107" applyFont="1" applyAlignment="1">
      <alignment horizontal="center"/>
      <protection/>
    </xf>
    <xf numFmtId="0" fontId="56" fillId="0" borderId="21" xfId="107" applyFont="1" applyBorder="1" applyAlignment="1">
      <alignment horizontal="center"/>
      <protection/>
    </xf>
    <xf numFmtId="204" fontId="56" fillId="0" borderId="21" xfId="81" applyNumberFormat="1" applyFont="1" applyBorder="1" applyAlignment="1">
      <alignment/>
    </xf>
    <xf numFmtId="0" fontId="60" fillId="18" borderId="21" xfId="107" applyFont="1" applyFill="1" applyBorder="1" applyAlignment="1">
      <alignment horizontal="center"/>
      <protection/>
    </xf>
    <xf numFmtId="0" fontId="61" fillId="13" borderId="21" xfId="107" applyFont="1" applyFill="1" applyBorder="1" applyAlignment="1">
      <alignment horizontal="center" shrinkToFit="1"/>
      <protection/>
    </xf>
    <xf numFmtId="0" fontId="56" fillId="13" borderId="22" xfId="107" applyFont="1" applyFill="1" applyBorder="1" applyAlignment="1">
      <alignment horizontal="center" vertical="center"/>
      <protection/>
    </xf>
    <xf numFmtId="0" fontId="26" fillId="0" borderId="0" xfId="98" applyFont="1">
      <alignment/>
      <protection/>
    </xf>
    <xf numFmtId="0" fontId="26" fillId="0" borderId="21" xfId="98" applyFont="1" applyBorder="1">
      <alignment/>
      <protection/>
    </xf>
    <xf numFmtId="204" fontId="26" fillId="0" borderId="21" xfId="98" applyNumberFormat="1" applyFont="1" applyBorder="1">
      <alignment/>
      <protection/>
    </xf>
    <xf numFmtId="204" fontId="26" fillId="0" borderId="21" xfId="67" applyNumberFormat="1" applyFont="1" applyBorder="1" applyAlignment="1">
      <alignment/>
    </xf>
    <xf numFmtId="204" fontId="26" fillId="0" borderId="0" xfId="98" applyNumberFormat="1" applyFont="1">
      <alignment/>
      <protection/>
    </xf>
    <xf numFmtId="0" fontId="24" fillId="0" borderId="21" xfId="98" applyFont="1" applyFill="1" applyBorder="1" applyAlignment="1">
      <alignment horizontal="center"/>
      <protection/>
    </xf>
    <xf numFmtId="0" fontId="24" fillId="12" borderId="21" xfId="98" applyFont="1" applyFill="1" applyBorder="1" applyAlignment="1">
      <alignment horizontal="center"/>
      <protection/>
    </xf>
    <xf numFmtId="204" fontId="26" fillId="12" borderId="21" xfId="67" applyNumberFormat="1" applyFont="1" applyFill="1" applyBorder="1" applyAlignment="1">
      <alignment/>
    </xf>
    <xf numFmtId="0" fontId="24" fillId="11" borderId="22" xfId="98" applyFont="1" applyFill="1" applyBorder="1" applyAlignment="1">
      <alignment horizontal="center"/>
      <protection/>
    </xf>
    <xf numFmtId="0" fontId="24" fillId="0" borderId="0" xfId="98" applyFont="1" applyFill="1" applyBorder="1" applyAlignment="1">
      <alignment horizontal="left"/>
      <protection/>
    </xf>
    <xf numFmtId="0" fontId="26" fillId="0" borderId="0" xfId="98" applyFont="1" applyFill="1">
      <alignment/>
      <protection/>
    </xf>
    <xf numFmtId="0" fontId="24" fillId="32" borderId="21" xfId="98" applyFont="1" applyFill="1" applyBorder="1" applyAlignment="1">
      <alignment horizontal="center"/>
      <protection/>
    </xf>
    <xf numFmtId="204" fontId="26" fillId="32" borderId="21" xfId="67" applyNumberFormat="1" applyFont="1" applyFill="1" applyBorder="1" applyAlignment="1">
      <alignment/>
    </xf>
    <xf numFmtId="204" fontId="24" fillId="55" borderId="23" xfId="81" applyNumberFormat="1" applyFont="1" applyFill="1" applyBorder="1" applyAlignment="1">
      <alignment horizontal="center"/>
    </xf>
    <xf numFmtId="204" fontId="61" fillId="55" borderId="21" xfId="81" applyNumberFormat="1" applyFont="1" applyFill="1" applyBorder="1" applyAlignment="1">
      <alignment/>
    </xf>
    <xf numFmtId="204" fontId="61" fillId="0" borderId="21" xfId="81" applyNumberFormat="1" applyFont="1" applyFill="1" applyBorder="1" applyAlignment="1">
      <alignment/>
    </xf>
    <xf numFmtId="204" fontId="61" fillId="55" borderId="21" xfId="107" applyNumberFormat="1" applyFont="1" applyFill="1" applyBorder="1" applyAlignment="1">
      <alignment horizontal="center"/>
      <protection/>
    </xf>
    <xf numFmtId="204" fontId="59" fillId="55" borderId="21" xfId="107" applyNumberFormat="1" applyFont="1" applyFill="1" applyBorder="1">
      <alignment/>
      <protection/>
    </xf>
    <xf numFmtId="0" fontId="26" fillId="0" borderId="21" xfId="98" applyFont="1" applyBorder="1" applyAlignment="1">
      <alignment horizontal="center" vertical="center" wrapText="1"/>
      <protection/>
    </xf>
    <xf numFmtId="204" fontId="26" fillId="0" borderId="21" xfId="61" applyNumberFormat="1" applyFont="1" applyBorder="1" applyAlignment="1">
      <alignment horizontal="center" vertical="center" wrapText="1"/>
    </xf>
    <xf numFmtId="0" fontId="56" fillId="0" borderId="0" xfId="107" applyFont="1" applyAlignment="1">
      <alignment/>
      <protection/>
    </xf>
    <xf numFmtId="0" fontId="56" fillId="0" borderId="0" xfId="107" applyFont="1" applyBorder="1" applyAlignment="1">
      <alignment/>
      <protection/>
    </xf>
    <xf numFmtId="0" fontId="24" fillId="9" borderId="22" xfId="98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98" applyNumberFormat="1" applyFont="1">
      <alignment/>
      <protection/>
    </xf>
    <xf numFmtId="204" fontId="56" fillId="55" borderId="24" xfId="107" applyNumberFormat="1" applyFont="1" applyFill="1" applyBorder="1">
      <alignment/>
      <protection/>
    </xf>
    <xf numFmtId="204" fontId="57" fillId="0" borderId="24" xfId="81" applyNumberFormat="1" applyFont="1" applyFill="1" applyBorder="1" applyAlignment="1">
      <alignment/>
    </xf>
    <xf numFmtId="17" fontId="24" fillId="9" borderId="22" xfId="98" applyNumberFormat="1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0" fontId="57" fillId="12" borderId="21" xfId="0" applyFont="1" applyFill="1" applyBorder="1" applyAlignment="1">
      <alignment horizontal="center"/>
    </xf>
    <xf numFmtId="0" fontId="24" fillId="0" borderId="21" xfId="98" applyFont="1" applyBorder="1" applyAlignment="1">
      <alignment horizontal="center" vertical="center" wrapText="1"/>
      <protection/>
    </xf>
    <xf numFmtId="0" fontId="57" fillId="8" borderId="22" xfId="0" applyFont="1" applyFill="1" applyBorder="1" applyAlignment="1">
      <alignment horizontal="center" vertical="center"/>
    </xf>
    <xf numFmtId="9" fontId="57" fillId="8" borderId="25" xfId="0" applyNumberFormat="1" applyFont="1" applyFill="1" applyBorder="1" applyAlignment="1">
      <alignment horizontal="center" vertical="center"/>
    </xf>
    <xf numFmtId="0" fontId="60" fillId="8" borderId="22" xfId="0" applyFont="1" applyFill="1" applyBorder="1" applyAlignment="1">
      <alignment horizontal="center" vertical="center"/>
    </xf>
    <xf numFmtId="0" fontId="57" fillId="8" borderId="23" xfId="0" applyFont="1" applyFill="1" applyBorder="1" applyAlignment="1">
      <alignment horizontal="center" vertical="center"/>
    </xf>
    <xf numFmtId="0" fontId="56" fillId="10" borderId="22" xfId="0" applyFont="1" applyFill="1" applyBorder="1" applyAlignment="1">
      <alignment/>
    </xf>
    <xf numFmtId="0" fontId="56" fillId="10" borderId="25" xfId="0" applyFont="1" applyFill="1" applyBorder="1" applyAlignment="1">
      <alignment horizontal="left"/>
    </xf>
    <xf numFmtId="0" fontId="56" fillId="10" borderId="25" xfId="0" applyFont="1" applyFill="1" applyBorder="1" applyAlignment="1">
      <alignment horizontal="center"/>
    </xf>
    <xf numFmtId="204" fontId="56" fillId="10" borderId="25" xfId="123" applyNumberFormat="1" applyFont="1" applyFill="1" applyBorder="1" applyAlignment="1">
      <alignment/>
    </xf>
    <xf numFmtId="204" fontId="56" fillId="10" borderId="25" xfId="0" applyNumberFormat="1" applyFont="1" applyFill="1" applyBorder="1" applyAlignment="1">
      <alignment/>
    </xf>
    <xf numFmtId="0" fontId="56" fillId="10" borderId="23" xfId="0" applyFont="1" applyFill="1" applyBorder="1" applyAlignment="1">
      <alignment/>
    </xf>
    <xf numFmtId="0" fontId="57" fillId="57" borderId="21" xfId="0" applyFont="1" applyFill="1" applyBorder="1" applyAlignment="1">
      <alignment horizontal="center"/>
    </xf>
    <xf numFmtId="204" fontId="57" fillId="57" borderId="21" xfId="123" applyNumberFormat="1" applyFont="1" applyFill="1" applyBorder="1" applyAlignment="1">
      <alignment/>
    </xf>
    <xf numFmtId="3" fontId="57" fillId="57" borderId="21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57" fillId="0" borderId="0" xfId="107" applyFont="1" applyAlignment="1">
      <alignment/>
      <protection/>
    </xf>
    <xf numFmtId="0" fontId="57" fillId="0" borderId="0" xfId="107" applyFont="1" applyBorder="1" applyAlignment="1">
      <alignment/>
      <protection/>
    </xf>
    <xf numFmtId="0" fontId="26" fillId="0" borderId="0" xfId="101" applyFont="1" applyFill="1">
      <alignment/>
      <protection/>
    </xf>
    <xf numFmtId="0" fontId="26" fillId="0" borderId="0" xfId="101" applyFont="1">
      <alignment/>
      <protection/>
    </xf>
    <xf numFmtId="0" fontId="24" fillId="0" borderId="21" xfId="101" applyFont="1" applyBorder="1" applyAlignment="1">
      <alignment horizontal="center" vertical="center"/>
      <protection/>
    </xf>
    <xf numFmtId="0" fontId="24" fillId="0" borderId="21" xfId="101" applyFont="1" applyBorder="1" applyAlignment="1">
      <alignment horizontal="center"/>
      <protection/>
    </xf>
    <xf numFmtId="0" fontId="26" fillId="0" borderId="0" xfId="101" applyFont="1" applyBorder="1">
      <alignment/>
      <protection/>
    </xf>
    <xf numFmtId="0" fontId="24" fillId="0" borderId="22" xfId="101" applyFont="1" applyBorder="1" applyAlignment="1">
      <alignment horizontal="center" vertical="center"/>
      <protection/>
    </xf>
    <xf numFmtId="0" fontId="24" fillId="0" borderId="25" xfId="101" applyFont="1" applyBorder="1" applyAlignment="1">
      <alignment horizontal="center" vertical="center"/>
      <protection/>
    </xf>
    <xf numFmtId="0" fontId="24" fillId="58" borderId="23" xfId="101" applyFont="1" applyFill="1" applyBorder="1" applyAlignment="1">
      <alignment horizontal="center" vertical="center"/>
      <protection/>
    </xf>
    <xf numFmtId="0" fontId="24" fillId="0" borderId="23" xfId="101" applyFont="1" applyBorder="1" applyAlignment="1">
      <alignment horizontal="center" vertical="center"/>
      <protection/>
    </xf>
    <xf numFmtId="0" fontId="24" fillId="0" borderId="21" xfId="101" applyFont="1" applyBorder="1" applyAlignment="1">
      <alignment horizontal="center" vertical="center" wrapText="1"/>
      <protection/>
    </xf>
    <xf numFmtId="0" fontId="24" fillId="0" borderId="23" xfId="101" applyFont="1" applyBorder="1" applyAlignment="1">
      <alignment horizontal="center" vertical="center" wrapText="1"/>
      <protection/>
    </xf>
    <xf numFmtId="0" fontId="24" fillId="58" borderId="21" xfId="101" applyFont="1" applyFill="1" applyBorder="1" applyAlignment="1">
      <alignment horizontal="center"/>
      <protection/>
    </xf>
    <xf numFmtId="204" fontId="26" fillId="58" borderId="21" xfId="101" applyNumberFormat="1" applyFont="1" applyFill="1" applyBorder="1" applyAlignment="1">
      <alignment horizontal="center"/>
      <protection/>
    </xf>
    <xf numFmtId="204" fontId="26" fillId="0" borderId="21" xfId="123" applyNumberFormat="1" applyFont="1" applyBorder="1" applyAlignment="1">
      <alignment horizontal="center"/>
    </xf>
    <xf numFmtId="204" fontId="26" fillId="59" borderId="21" xfId="123" applyNumberFormat="1" applyFont="1" applyFill="1" applyBorder="1" applyAlignment="1">
      <alignment horizontal="center"/>
    </xf>
    <xf numFmtId="0" fontId="24" fillId="0" borderId="21" xfId="101" applyFont="1" applyBorder="1" applyAlignment="1" quotePrefix="1">
      <alignment horizontal="center"/>
      <protection/>
    </xf>
    <xf numFmtId="204" fontId="24" fillId="0" borderId="21" xfId="123" applyNumberFormat="1" applyFont="1" applyBorder="1" applyAlignment="1" quotePrefix="1">
      <alignment/>
    </xf>
    <xf numFmtId="204" fontId="24" fillId="59" borderId="21" xfId="72" applyNumberFormat="1" applyFont="1" applyFill="1" applyBorder="1" applyAlignment="1">
      <alignment/>
    </xf>
    <xf numFmtId="0" fontId="26" fillId="0" borderId="0" xfId="101" applyFont="1" applyFill="1" applyBorder="1" quotePrefix="1">
      <alignment/>
      <protection/>
    </xf>
    <xf numFmtId="204" fontId="26" fillId="0" borderId="0" xfId="72" applyNumberFormat="1" applyFont="1" applyFill="1" applyBorder="1" applyAlignment="1" quotePrefix="1">
      <alignment/>
    </xf>
    <xf numFmtId="204" fontId="26" fillId="0" borderId="0" xfId="72" applyNumberFormat="1" applyFont="1" applyFill="1" applyBorder="1" applyAlignment="1">
      <alignment/>
    </xf>
    <xf numFmtId="0" fontId="26" fillId="0" borderId="0" xfId="104" applyFont="1" applyAlignment="1">
      <alignment horizontal="center"/>
      <protection/>
    </xf>
    <xf numFmtId="0" fontId="26" fillId="0" borderId="0" xfId="104" applyFont="1" applyAlignment="1">
      <alignment/>
      <protection/>
    </xf>
    <xf numFmtId="0" fontId="24" fillId="0" borderId="0" xfId="0" applyFont="1" applyFill="1" applyBorder="1" applyAlignment="1">
      <alignment/>
    </xf>
    <xf numFmtId="204" fontId="24" fillId="0" borderId="0" xfId="0" applyNumberFormat="1" applyFont="1" applyFill="1" applyBorder="1" applyAlignment="1">
      <alignment/>
    </xf>
    <xf numFmtId="204" fontId="24" fillId="59" borderId="21" xfId="123" applyNumberFormat="1" applyFont="1" applyFill="1" applyBorder="1" applyAlignment="1">
      <alignment/>
    </xf>
    <xf numFmtId="204" fontId="24" fillId="0" borderId="0" xfId="123" applyNumberFormat="1" applyFont="1" applyFill="1" applyBorder="1" applyAlignment="1">
      <alignment/>
    </xf>
    <xf numFmtId="204" fontId="24" fillId="40" borderId="21" xfId="123" applyNumberFormat="1" applyFont="1" applyFill="1" applyBorder="1" applyAlignment="1">
      <alignment/>
    </xf>
    <xf numFmtId="0" fontId="24" fillId="0" borderId="0" xfId="0" applyFont="1" applyFill="1" applyAlignment="1">
      <alignment/>
    </xf>
    <xf numFmtId="204" fontId="24" fillId="7" borderId="21" xfId="123" applyNumberFormat="1" applyFont="1" applyFill="1" applyBorder="1" applyAlignment="1">
      <alignment/>
    </xf>
    <xf numFmtId="0" fontId="24" fillId="60" borderId="21" xfId="0" applyFont="1" applyFill="1" applyBorder="1" applyAlignment="1">
      <alignment horizontal="left"/>
    </xf>
    <xf numFmtId="204" fontId="24" fillId="60" borderId="21" xfId="123" applyNumberFormat="1" applyFont="1" applyFill="1" applyBorder="1" applyAlignment="1">
      <alignment/>
    </xf>
    <xf numFmtId="0" fontId="26" fillId="0" borderId="0" xfId="104" applyFont="1" applyAlignment="1">
      <alignment horizontal="right"/>
      <protection/>
    </xf>
    <xf numFmtId="0" fontId="26" fillId="0" borderId="0" xfId="101" applyFont="1" applyAlignment="1">
      <alignment horizontal="right"/>
      <protection/>
    </xf>
    <xf numFmtId="43" fontId="56" fillId="0" borderId="0" xfId="61" applyFont="1" applyAlignment="1">
      <alignment/>
    </xf>
    <xf numFmtId="0" fontId="57" fillId="12" borderId="23" xfId="107" applyFont="1" applyFill="1" applyBorder="1" applyAlignment="1">
      <alignment horizontal="center"/>
      <protection/>
    </xf>
    <xf numFmtId="0" fontId="57" fillId="12" borderId="26" xfId="107" applyFont="1" applyFill="1" applyBorder="1" applyAlignment="1">
      <alignment horizontal="center" vertical="center" wrapText="1"/>
      <protection/>
    </xf>
    <xf numFmtId="205" fontId="57" fillId="12" borderId="21" xfId="0" applyNumberFormat="1" applyFont="1" applyFill="1" applyBorder="1" applyAlignment="1">
      <alignment horizontal="center"/>
    </xf>
    <xf numFmtId="43" fontId="56" fillId="0" borderId="21" xfId="61" applyFont="1" applyBorder="1" applyAlignment="1">
      <alignment horizontal="right"/>
    </xf>
    <xf numFmtId="43" fontId="57" fillId="0" borderId="21" xfId="61" applyFont="1" applyBorder="1" applyAlignment="1">
      <alignment horizontal="right"/>
    </xf>
    <xf numFmtId="43" fontId="56" fillId="0" borderId="21" xfId="61" applyFont="1" applyBorder="1" applyAlignment="1">
      <alignment/>
    </xf>
    <xf numFmtId="204" fontId="56" fillId="0" borderId="0" xfId="0" applyNumberFormat="1" applyFont="1" applyAlignment="1">
      <alignment/>
    </xf>
    <xf numFmtId="43" fontId="57" fillId="0" borderId="21" xfId="61" applyFont="1" applyFill="1" applyBorder="1" applyAlignment="1">
      <alignment horizontal="right"/>
    </xf>
    <xf numFmtId="204" fontId="56" fillId="0" borderId="0" xfId="61" applyNumberFormat="1" applyFont="1" applyAlignment="1">
      <alignment/>
    </xf>
    <xf numFmtId="43" fontId="57" fillId="12" borderId="21" xfId="61" applyFont="1" applyFill="1" applyBorder="1" applyAlignment="1">
      <alignment horizontal="right"/>
    </xf>
    <xf numFmtId="43" fontId="57" fillId="0" borderId="0" xfId="61" applyFont="1" applyAlignment="1">
      <alignment/>
    </xf>
    <xf numFmtId="204" fontId="57" fillId="0" borderId="0" xfId="0" applyNumberFormat="1" applyFont="1" applyAlignment="1">
      <alignment/>
    </xf>
    <xf numFmtId="204" fontId="56" fillId="0" borderId="0" xfId="107" applyNumberFormat="1" applyFont="1">
      <alignment/>
      <protection/>
    </xf>
    <xf numFmtId="43" fontId="0" fillId="0" borderId="0" xfId="61" applyFont="1" applyAlignment="1">
      <alignment/>
    </xf>
    <xf numFmtId="205" fontId="57" fillId="11" borderId="21" xfId="0" applyNumberFormat="1" applyFont="1" applyFill="1" applyBorder="1" applyAlignment="1">
      <alignment horizontal="center"/>
    </xf>
    <xf numFmtId="0" fontId="57" fillId="11" borderId="21" xfId="0" applyFont="1" applyFill="1" applyBorder="1" applyAlignment="1">
      <alignment horizontal="center"/>
    </xf>
    <xf numFmtId="43" fontId="57" fillId="11" borderId="21" xfId="61" applyFont="1" applyFill="1" applyBorder="1" applyAlignment="1">
      <alignment horizontal="right"/>
    </xf>
    <xf numFmtId="0" fontId="24" fillId="10" borderId="21" xfId="107" applyFont="1" applyFill="1" applyBorder="1" applyAlignment="1">
      <alignment horizontal="center"/>
      <protection/>
    </xf>
    <xf numFmtId="205" fontId="57" fillId="10" borderId="21" xfId="0" applyNumberFormat="1" applyFont="1" applyFill="1" applyBorder="1" applyAlignment="1">
      <alignment horizontal="center"/>
    </xf>
    <xf numFmtId="0" fontId="57" fillId="10" borderId="21" xfId="0" applyFont="1" applyFill="1" applyBorder="1" applyAlignment="1">
      <alignment horizontal="center"/>
    </xf>
    <xf numFmtId="43" fontId="57" fillId="10" borderId="21" xfId="61" applyFont="1" applyFill="1" applyBorder="1" applyAlignment="1">
      <alignment horizontal="right"/>
    </xf>
    <xf numFmtId="0" fontId="28" fillId="0" borderId="0" xfId="0" applyFont="1" applyAlignment="1">
      <alignment/>
    </xf>
    <xf numFmtId="0" fontId="24" fillId="11" borderId="27" xfId="107" applyFont="1" applyFill="1" applyBorder="1" applyAlignment="1">
      <alignment horizontal="center"/>
      <protection/>
    </xf>
    <xf numFmtId="0" fontId="57" fillId="12" borderId="24" xfId="107" applyFont="1" applyFill="1" applyBorder="1" applyAlignment="1">
      <alignment horizontal="center" vertical="center" wrapText="1"/>
      <protection/>
    </xf>
    <xf numFmtId="0" fontId="24" fillId="11" borderId="23" xfId="107" applyFont="1" applyFill="1" applyBorder="1" applyAlignment="1">
      <alignment horizontal="center"/>
      <protection/>
    </xf>
    <xf numFmtId="43" fontId="56" fillId="0" borderId="21" xfId="61" applyFont="1" applyFill="1" applyBorder="1" applyAlignment="1">
      <alignment horizontal="right"/>
    </xf>
    <xf numFmtId="0" fontId="56" fillId="0" borderId="0" xfId="0" applyFont="1" applyAlignment="1">
      <alignment wrapText="1"/>
    </xf>
    <xf numFmtId="0" fontId="62" fillId="0" borderId="21" xfId="0" applyFont="1" applyBorder="1" applyAlignment="1">
      <alignment horizontal="center"/>
    </xf>
    <xf numFmtId="0" fontId="63" fillId="61" borderId="28" xfId="0" applyFont="1" applyFill="1" applyBorder="1" applyAlignment="1">
      <alignment/>
    </xf>
    <xf numFmtId="0" fontId="56" fillId="0" borderId="28" xfId="0" applyFont="1" applyFill="1" applyBorder="1" applyAlignment="1">
      <alignment horizontal="center"/>
    </xf>
    <xf numFmtId="43" fontId="56" fillId="0" borderId="28" xfId="123" applyFont="1" applyFill="1" applyBorder="1" applyAlignment="1">
      <alignment horizontal="center"/>
    </xf>
    <xf numFmtId="0" fontId="56" fillId="0" borderId="29" xfId="0" applyFont="1" applyBorder="1" applyAlignment="1" quotePrefix="1">
      <alignment/>
    </xf>
    <xf numFmtId="0" fontId="56" fillId="0" borderId="29" xfId="0" applyFont="1" applyBorder="1" applyAlignment="1">
      <alignment horizontal="center"/>
    </xf>
    <xf numFmtId="43" fontId="56" fillId="0" borderId="29" xfId="123" applyFont="1" applyBorder="1" applyAlignment="1">
      <alignment horizontal="center"/>
    </xf>
    <xf numFmtId="0" fontId="63" fillId="61" borderId="29" xfId="0" applyFont="1" applyFill="1" applyBorder="1" applyAlignment="1" quotePrefix="1">
      <alignment horizontal="left"/>
    </xf>
    <xf numFmtId="0" fontId="56" fillId="0" borderId="29" xfId="0" applyFont="1" applyFill="1" applyBorder="1" applyAlignment="1">
      <alignment horizontal="center"/>
    </xf>
    <xf numFmtId="43" fontId="56" fillId="0" borderId="29" xfId="123" applyFont="1" applyFill="1" applyBorder="1" applyAlignment="1">
      <alignment horizontal="center"/>
    </xf>
    <xf numFmtId="0" fontId="63" fillId="61" borderId="29" xfId="0" applyFont="1" applyFill="1" applyBorder="1" applyAlignment="1">
      <alignment/>
    </xf>
    <xf numFmtId="0" fontId="64" fillId="62" borderId="29" xfId="0" applyFont="1" applyFill="1" applyBorder="1" applyAlignment="1">
      <alignment horizontal="center"/>
    </xf>
    <xf numFmtId="0" fontId="56" fillId="0" borderId="30" xfId="0" applyFont="1" applyBorder="1" applyAlignment="1">
      <alignment horizontal="center"/>
    </xf>
    <xf numFmtId="43" fontId="57" fillId="0" borderId="30" xfId="123" applyFont="1" applyBorder="1" applyAlignment="1">
      <alignment horizontal="center"/>
    </xf>
    <xf numFmtId="13" fontId="56" fillId="0" borderId="21" xfId="61" applyNumberFormat="1" applyFont="1" applyBorder="1" applyAlignment="1">
      <alignment horizontal="right"/>
    </xf>
    <xf numFmtId="13" fontId="57" fillId="8" borderId="25" xfId="0" applyNumberFormat="1" applyFont="1" applyFill="1" applyBorder="1" applyAlignment="1">
      <alignment horizontal="center" vertical="center"/>
    </xf>
    <xf numFmtId="204" fontId="59" fillId="0" borderId="21" xfId="123" applyNumberFormat="1" applyFont="1" applyBorder="1" applyAlignment="1">
      <alignment horizontal="center"/>
    </xf>
    <xf numFmtId="204" fontId="59" fillId="0" borderId="21" xfId="123" applyNumberFormat="1" applyFont="1" applyBorder="1" applyAlignment="1">
      <alignment horizontal="right"/>
    </xf>
    <xf numFmtId="204" fontId="59" fillId="13" borderId="21" xfId="123" applyNumberFormat="1" applyFont="1" applyFill="1" applyBorder="1" applyAlignment="1">
      <alignment horizontal="center"/>
    </xf>
    <xf numFmtId="204" fontId="59" fillId="0" borderId="21" xfId="123" applyNumberFormat="1" applyFont="1" applyBorder="1" applyAlignment="1">
      <alignment/>
    </xf>
    <xf numFmtId="204" fontId="59" fillId="61" borderId="0" xfId="107" applyNumberFormat="1" applyFont="1" applyFill="1">
      <alignment/>
      <protection/>
    </xf>
    <xf numFmtId="204" fontId="59" fillId="13" borderId="21" xfId="123" applyNumberFormat="1" applyFont="1" applyFill="1" applyBorder="1" applyAlignment="1">
      <alignment horizontal="center" vertical="center"/>
    </xf>
    <xf numFmtId="204" fontId="59" fillId="18" borderId="21" xfId="123" applyNumberFormat="1" applyFont="1" applyFill="1" applyBorder="1" applyAlignment="1">
      <alignment horizontal="center"/>
    </xf>
    <xf numFmtId="204" fontId="59" fillId="18" borderId="21" xfId="123" applyNumberFormat="1" applyFont="1" applyFill="1" applyBorder="1" applyAlignment="1">
      <alignment horizontal="center" vertical="center"/>
    </xf>
    <xf numFmtId="204" fontId="59" fillId="0" borderId="21" xfId="123" applyNumberFormat="1" applyFont="1" applyFill="1" applyBorder="1" applyAlignment="1">
      <alignment horizontal="center"/>
    </xf>
    <xf numFmtId="204" fontId="59" fillId="13" borderId="31" xfId="123" applyNumberFormat="1" applyFont="1" applyFill="1" applyBorder="1" applyAlignment="1">
      <alignment horizontal="center"/>
    </xf>
    <xf numFmtId="204" fontId="60" fillId="18" borderId="21" xfId="123" applyNumberFormat="1" applyFont="1" applyFill="1" applyBorder="1" applyAlignment="1">
      <alignment horizontal="center"/>
    </xf>
    <xf numFmtId="204" fontId="60" fillId="18" borderId="22" xfId="123" applyNumberFormat="1" applyFont="1" applyFill="1" applyBorder="1" applyAlignment="1">
      <alignment horizontal="center"/>
    </xf>
    <xf numFmtId="0" fontId="61" fillId="0" borderId="31" xfId="107" applyFont="1" applyBorder="1" applyAlignment="1">
      <alignment horizontal="center"/>
      <protection/>
    </xf>
    <xf numFmtId="0" fontId="61" fillId="0" borderId="4" xfId="107" applyFont="1" applyBorder="1" applyAlignment="1">
      <alignment horizontal="center"/>
      <protection/>
    </xf>
    <xf numFmtId="3" fontId="61" fillId="0" borderId="4" xfId="107" applyNumberFormat="1" applyFont="1" applyBorder="1" applyAlignment="1">
      <alignment horizontal="right"/>
      <protection/>
    </xf>
    <xf numFmtId="3" fontId="61" fillId="0" borderId="4" xfId="107" applyNumberFormat="1" applyFont="1" applyBorder="1" applyAlignment="1">
      <alignment horizontal="center"/>
      <protection/>
    </xf>
    <xf numFmtId="0" fontId="56" fillId="61" borderId="0" xfId="107" applyFont="1" applyFill="1">
      <alignment/>
      <protection/>
    </xf>
    <xf numFmtId="0" fontId="26" fillId="0" borderId="0" xfId="107" applyFont="1">
      <alignment/>
      <protection/>
    </xf>
    <xf numFmtId="3" fontId="26" fillId="0" borderId="0" xfId="107" applyNumberFormat="1" applyFont="1">
      <alignment/>
      <protection/>
    </xf>
    <xf numFmtId="3" fontId="26" fillId="0" borderId="0" xfId="107" applyNumberFormat="1" applyFont="1" applyAlignment="1">
      <alignment horizontal="right"/>
      <protection/>
    </xf>
    <xf numFmtId="3" fontId="26" fillId="0" borderId="0" xfId="107" applyNumberFormat="1" applyFont="1" applyAlignment="1">
      <alignment horizontal="center"/>
      <protection/>
    </xf>
    <xf numFmtId="204" fontId="56" fillId="0" borderId="0" xfId="123" applyNumberFormat="1" applyFont="1" applyAlignment="1">
      <alignment/>
    </xf>
    <xf numFmtId="0" fontId="57" fillId="13" borderId="31" xfId="107" applyFont="1" applyFill="1" applyBorder="1" applyAlignment="1">
      <alignment horizontal="center" shrinkToFit="1"/>
      <protection/>
    </xf>
    <xf numFmtId="0" fontId="57" fillId="0" borderId="0" xfId="107" applyFont="1" applyAlignment="1">
      <alignment horizontal="center"/>
      <protection/>
    </xf>
    <xf numFmtId="0" fontId="24" fillId="56" borderId="21" xfId="107" applyFont="1" applyFill="1" applyBorder="1" applyAlignment="1">
      <alignment horizontal="left"/>
      <protection/>
    </xf>
    <xf numFmtId="0" fontId="56" fillId="0" borderId="0" xfId="107" applyFont="1" applyAlignment="1">
      <alignment horizontal="center"/>
      <protection/>
    </xf>
    <xf numFmtId="0" fontId="24" fillId="55" borderId="21" xfId="107" applyFont="1" applyFill="1" applyBorder="1" applyAlignment="1">
      <alignment horizontal="left"/>
      <protection/>
    </xf>
    <xf numFmtId="0" fontId="24" fillId="0" borderId="21" xfId="107" applyFont="1" applyBorder="1" applyAlignment="1">
      <alignment horizontal="left"/>
      <protection/>
    </xf>
    <xf numFmtId="0" fontId="24" fillId="13" borderId="21" xfId="107" applyFont="1" applyFill="1" applyBorder="1" applyAlignment="1">
      <alignment horizontal="center"/>
      <protection/>
    </xf>
    <xf numFmtId="0" fontId="56" fillId="13" borderId="21" xfId="107" applyFont="1" applyFill="1" applyBorder="1" applyAlignment="1">
      <alignment horizontal="center"/>
      <protection/>
    </xf>
    <xf numFmtId="43" fontId="56" fillId="0" borderId="29" xfId="123" applyNumberFormat="1" applyFont="1" applyBorder="1" applyAlignment="1">
      <alignment horizontal="center"/>
    </xf>
    <xf numFmtId="0" fontId="65" fillId="0" borderId="0" xfId="107" applyFont="1" applyAlignment="1">
      <alignment horizontal="center"/>
      <protection/>
    </xf>
    <xf numFmtId="204" fontId="59" fillId="0" borderId="0" xfId="107" applyNumberFormat="1" applyFont="1" applyAlignment="1">
      <alignment horizontal="center"/>
      <protection/>
    </xf>
    <xf numFmtId="49" fontId="25" fillId="13" borderId="21" xfId="107" applyNumberFormat="1" applyFont="1" applyFill="1" applyBorder="1" applyAlignment="1">
      <alignment horizontal="center"/>
      <protection/>
    </xf>
    <xf numFmtId="204" fontId="26" fillId="0" borderId="21" xfId="123" applyNumberFormat="1" applyFont="1" applyBorder="1" applyAlignment="1">
      <alignment horizontal="right"/>
    </xf>
    <xf numFmtId="204" fontId="26" fillId="13" borderId="21" xfId="123" applyNumberFormat="1" applyFont="1" applyFill="1" applyBorder="1" applyAlignment="1">
      <alignment horizontal="right"/>
    </xf>
    <xf numFmtId="204" fontId="26" fillId="13" borderId="21" xfId="123" applyNumberFormat="1" applyFont="1" applyFill="1" applyBorder="1" applyAlignment="1">
      <alignment horizontal="center"/>
    </xf>
    <xf numFmtId="204" fontId="56" fillId="0" borderId="21" xfId="123" applyNumberFormat="1" applyFont="1" applyBorder="1" applyAlignment="1">
      <alignment horizontal="right"/>
    </xf>
    <xf numFmtId="204" fontId="24" fillId="18" borderId="21" xfId="123" applyNumberFormat="1" applyFont="1" applyFill="1" applyBorder="1" applyAlignment="1">
      <alignment horizontal="right"/>
    </xf>
    <xf numFmtId="204" fontId="24" fillId="18" borderId="21" xfId="123" applyNumberFormat="1" applyFont="1" applyFill="1" applyBorder="1" applyAlignment="1">
      <alignment horizontal="center"/>
    </xf>
    <xf numFmtId="204" fontId="57" fillId="18" borderId="21" xfId="123" applyNumberFormat="1" applyFont="1" applyFill="1" applyBorder="1" applyAlignment="1">
      <alignment horizontal="right"/>
    </xf>
    <xf numFmtId="3" fontId="25" fillId="13" borderId="31" xfId="107" applyNumberFormat="1" applyFont="1" applyFill="1" applyBorder="1" applyAlignment="1">
      <alignment horizontal="center"/>
      <protection/>
    </xf>
    <xf numFmtId="204" fontId="59" fillId="13" borderId="21" xfId="123" applyNumberFormat="1" applyFont="1" applyFill="1" applyBorder="1" applyAlignment="1">
      <alignment horizontal="right"/>
    </xf>
    <xf numFmtId="204" fontId="59" fillId="13" borderId="21" xfId="123" applyNumberFormat="1" applyFont="1" applyFill="1" applyBorder="1" applyAlignment="1">
      <alignment/>
    </xf>
    <xf numFmtId="204" fontId="59" fillId="63" borderId="21" xfId="123" applyNumberFormat="1" applyFont="1" applyFill="1" applyBorder="1" applyAlignment="1">
      <alignment/>
    </xf>
    <xf numFmtId="204" fontId="59" fillId="63" borderId="21" xfId="123" applyNumberFormat="1" applyFont="1" applyFill="1" applyBorder="1" applyAlignment="1">
      <alignment horizontal="right"/>
    </xf>
    <xf numFmtId="204" fontId="56" fillId="0" borderId="21" xfId="123" applyNumberFormat="1" applyFont="1" applyBorder="1" applyAlignment="1">
      <alignment horizontal="center"/>
    </xf>
    <xf numFmtId="204" fontId="56" fillId="13" borderId="21" xfId="81" applyNumberFormat="1" applyFont="1" applyFill="1" applyBorder="1" applyAlignment="1">
      <alignment/>
    </xf>
    <xf numFmtId="204" fontId="56" fillId="55" borderId="21" xfId="123" applyNumberFormat="1" applyFont="1" applyFill="1" applyBorder="1" applyAlignment="1">
      <alignment horizontal="center"/>
    </xf>
    <xf numFmtId="204" fontId="56" fillId="55" borderId="21" xfId="81" applyNumberFormat="1" applyFont="1" applyFill="1" applyBorder="1" applyAlignment="1">
      <alignment/>
    </xf>
    <xf numFmtId="0" fontId="57" fillId="18" borderId="21" xfId="107" applyFont="1" applyFill="1" applyBorder="1" applyAlignment="1">
      <alignment horizontal="center"/>
      <protection/>
    </xf>
    <xf numFmtId="204" fontId="57" fillId="18" borderId="21" xfId="123" applyNumberFormat="1" applyFont="1" applyFill="1" applyBorder="1" applyAlignment="1">
      <alignment horizontal="center"/>
    </xf>
    <xf numFmtId="0" fontId="56" fillId="18" borderId="21" xfId="107" applyFont="1" applyFill="1" applyBorder="1" applyAlignment="1">
      <alignment horizontal="center"/>
      <protection/>
    </xf>
    <xf numFmtId="204" fontId="56" fillId="18" borderId="21" xfId="81" applyNumberFormat="1" applyFont="1" applyFill="1" applyBorder="1" applyAlignment="1">
      <alignment/>
    </xf>
    <xf numFmtId="204" fontId="57" fillId="0" borderId="0" xfId="123" applyNumberFormat="1" applyFont="1" applyFill="1" applyBorder="1" applyAlignment="1">
      <alignment horizontal="center"/>
    </xf>
    <xf numFmtId="204" fontId="57" fillId="0" borderId="0" xfId="81" applyNumberFormat="1" applyFont="1" applyFill="1" applyBorder="1" applyAlignment="1">
      <alignment/>
    </xf>
    <xf numFmtId="204" fontId="56" fillId="0" borderId="0" xfId="81" applyNumberFormat="1" applyFont="1" applyFill="1" applyBorder="1" applyAlignment="1">
      <alignment/>
    </xf>
    <xf numFmtId="0" fontId="61" fillId="13" borderId="31" xfId="107" applyFont="1" applyFill="1" applyBorder="1" applyAlignment="1">
      <alignment horizontal="center"/>
      <protection/>
    </xf>
    <xf numFmtId="0" fontId="59" fillId="13" borderId="4" xfId="107" applyFont="1" applyFill="1" applyBorder="1" applyAlignment="1">
      <alignment horizontal="center"/>
      <protection/>
    </xf>
    <xf numFmtId="0" fontId="59" fillId="13" borderId="24" xfId="107" applyFont="1" applyFill="1" applyBorder="1" applyAlignment="1">
      <alignment horizontal="center"/>
      <protection/>
    </xf>
    <xf numFmtId="203" fontId="61" fillId="13" borderId="22" xfId="81" applyNumberFormat="1" applyFont="1" applyFill="1" applyBorder="1" applyAlignment="1">
      <alignment horizontal="center" vertical="center" shrinkToFit="1"/>
    </xf>
    <xf numFmtId="203" fontId="61" fillId="13" borderId="23" xfId="81" applyNumberFormat="1" applyFont="1" applyFill="1" applyBorder="1" applyAlignment="1">
      <alignment horizontal="center" vertical="center" shrinkToFit="1"/>
    </xf>
    <xf numFmtId="3" fontId="25" fillId="13" borderId="31" xfId="107" applyNumberFormat="1" applyFont="1" applyFill="1" applyBorder="1" applyAlignment="1">
      <alignment horizontal="center"/>
      <protection/>
    </xf>
    <xf numFmtId="3" fontId="25" fillId="13" borderId="24" xfId="107" applyNumberFormat="1" applyFont="1" applyFill="1" applyBorder="1" applyAlignment="1">
      <alignment horizontal="center"/>
      <protection/>
    </xf>
    <xf numFmtId="0" fontId="57" fillId="0" borderId="0" xfId="107" applyFont="1" applyAlignment="1">
      <alignment horizontal="center"/>
      <protection/>
    </xf>
    <xf numFmtId="0" fontId="56" fillId="0" borderId="0" xfId="107" applyFont="1" applyAlignment="1">
      <alignment horizontal="center"/>
      <protection/>
    </xf>
    <xf numFmtId="0" fontId="65" fillId="0" borderId="0" xfId="107" applyFont="1" applyAlignment="1">
      <alignment horizontal="center"/>
      <protection/>
    </xf>
    <xf numFmtId="203" fontId="61" fillId="13" borderId="21" xfId="81" applyNumberFormat="1" applyFont="1" applyFill="1" applyBorder="1" applyAlignment="1">
      <alignment horizontal="center"/>
    </xf>
    <xf numFmtId="204" fontId="61" fillId="13" borderId="22" xfId="81" applyNumberFormat="1" applyFont="1" applyFill="1" applyBorder="1" applyAlignment="1">
      <alignment horizontal="center" vertical="center" shrinkToFit="1"/>
    </xf>
    <xf numFmtId="204" fontId="61" fillId="13" borderId="23" xfId="81" applyNumberFormat="1" applyFont="1" applyFill="1" applyBorder="1" applyAlignment="1">
      <alignment horizontal="center" vertical="center" shrinkToFit="1"/>
    </xf>
    <xf numFmtId="0" fontId="24" fillId="55" borderId="21" xfId="107" applyFont="1" applyFill="1" applyBorder="1" applyAlignment="1">
      <alignment horizontal="left"/>
      <protection/>
    </xf>
    <xf numFmtId="0" fontId="24" fillId="55" borderId="31" xfId="107" applyFont="1" applyFill="1" applyBorder="1" applyAlignment="1">
      <alignment horizontal="left"/>
      <protection/>
    </xf>
    <xf numFmtId="0" fontId="24" fillId="55" borderId="4" xfId="107" applyFont="1" applyFill="1" applyBorder="1" applyAlignment="1">
      <alignment horizontal="left"/>
      <protection/>
    </xf>
    <xf numFmtId="0" fontId="24" fillId="55" borderId="24" xfId="107" applyFont="1" applyFill="1" applyBorder="1" applyAlignment="1">
      <alignment horizontal="left"/>
      <protection/>
    </xf>
    <xf numFmtId="204" fontId="26" fillId="55" borderId="32" xfId="81" applyNumberFormat="1" applyFont="1" applyFill="1" applyBorder="1" applyAlignment="1">
      <alignment horizontal="left"/>
    </xf>
    <xf numFmtId="204" fontId="26" fillId="55" borderId="26" xfId="81" applyNumberFormat="1" applyFont="1" applyFill="1" applyBorder="1" applyAlignment="1">
      <alignment horizontal="left"/>
    </xf>
    <xf numFmtId="0" fontId="61" fillId="13" borderId="22" xfId="107" applyFont="1" applyFill="1" applyBorder="1" applyAlignment="1">
      <alignment horizontal="center" vertical="center" shrinkToFit="1"/>
      <protection/>
    </xf>
    <xf numFmtId="0" fontId="61" fillId="13" borderId="23" xfId="107" applyFont="1" applyFill="1" applyBorder="1" applyAlignment="1">
      <alignment horizontal="center" vertical="center" shrinkToFit="1"/>
      <protection/>
    </xf>
    <xf numFmtId="0" fontId="24" fillId="0" borderId="21" xfId="107" applyFont="1" applyBorder="1" applyAlignment="1">
      <alignment horizontal="left"/>
      <protection/>
    </xf>
    <xf numFmtId="0" fontId="24" fillId="0" borderId="31" xfId="107" applyFont="1" applyBorder="1" applyAlignment="1">
      <alignment horizontal="left"/>
      <protection/>
    </xf>
    <xf numFmtId="0" fontId="24" fillId="0" borderId="4" xfId="107" applyFont="1" applyBorder="1" applyAlignment="1">
      <alignment horizontal="left"/>
      <protection/>
    </xf>
    <xf numFmtId="0" fontId="24" fillId="0" borderId="24" xfId="107" applyFont="1" applyBorder="1" applyAlignment="1">
      <alignment horizontal="left"/>
      <protection/>
    </xf>
    <xf numFmtId="3" fontId="24" fillId="56" borderId="31" xfId="107" applyNumberFormat="1" applyFont="1" applyFill="1" applyBorder="1" applyAlignment="1">
      <alignment horizontal="left"/>
      <protection/>
    </xf>
    <xf numFmtId="3" fontId="24" fillId="56" borderId="4" xfId="107" applyNumberFormat="1" applyFont="1" applyFill="1" applyBorder="1" applyAlignment="1">
      <alignment horizontal="left"/>
      <protection/>
    </xf>
    <xf numFmtId="0" fontId="24" fillId="56" borderId="21" xfId="107" applyFont="1" applyFill="1" applyBorder="1" applyAlignment="1">
      <alignment horizontal="left"/>
      <protection/>
    </xf>
    <xf numFmtId="0" fontId="24" fillId="56" borderId="31" xfId="107" applyFont="1" applyFill="1" applyBorder="1" applyAlignment="1">
      <alignment horizontal="left"/>
      <protection/>
    </xf>
    <xf numFmtId="0" fontId="24" fillId="56" borderId="4" xfId="107" applyFont="1" applyFill="1" applyBorder="1" applyAlignment="1">
      <alignment horizontal="left"/>
      <protection/>
    </xf>
    <xf numFmtId="0" fontId="24" fillId="56" borderId="24" xfId="107" applyFont="1" applyFill="1" applyBorder="1" applyAlignment="1">
      <alignment horizontal="left"/>
      <protection/>
    </xf>
    <xf numFmtId="0" fontId="59" fillId="0" borderId="33" xfId="107" applyFont="1" applyBorder="1" applyAlignment="1">
      <alignment horizontal="right"/>
      <protection/>
    </xf>
    <xf numFmtId="204" fontId="26" fillId="55" borderId="21" xfId="81" applyNumberFormat="1" applyFont="1" applyFill="1" applyBorder="1" applyAlignment="1">
      <alignment horizontal="left"/>
    </xf>
    <xf numFmtId="203" fontId="57" fillId="13" borderId="21" xfId="81" applyNumberFormat="1" applyFont="1" applyFill="1" applyBorder="1" applyAlignment="1">
      <alignment horizontal="center"/>
    </xf>
    <xf numFmtId="0" fontId="57" fillId="13" borderId="21" xfId="107" applyFont="1" applyFill="1" applyBorder="1" applyAlignment="1">
      <alignment horizontal="center"/>
      <protection/>
    </xf>
    <xf numFmtId="0" fontId="56" fillId="13" borderId="21" xfId="107" applyFont="1" applyFill="1" applyBorder="1" applyAlignment="1">
      <alignment horizontal="center"/>
      <protection/>
    </xf>
    <xf numFmtId="203" fontId="57" fillId="13" borderId="22" xfId="81" applyNumberFormat="1" applyFont="1" applyFill="1" applyBorder="1" applyAlignment="1">
      <alignment horizontal="center" vertical="center" shrinkToFit="1"/>
    </xf>
    <xf numFmtId="203" fontId="57" fillId="13" borderId="23" xfId="81" applyNumberFormat="1" applyFont="1" applyFill="1" applyBorder="1" applyAlignment="1">
      <alignment horizontal="center" vertical="center" shrinkToFit="1"/>
    </xf>
    <xf numFmtId="0" fontId="57" fillId="13" borderId="31" xfId="107" applyFont="1" applyFill="1" applyBorder="1" applyAlignment="1">
      <alignment horizontal="center" shrinkToFit="1"/>
      <protection/>
    </xf>
    <xf numFmtId="0" fontId="57" fillId="13" borderId="24" xfId="107" applyFont="1" applyFill="1" applyBorder="1" applyAlignment="1">
      <alignment horizontal="center" shrinkToFit="1"/>
      <protection/>
    </xf>
    <xf numFmtId="204" fontId="57" fillId="13" borderId="22" xfId="81" applyNumberFormat="1" applyFont="1" applyFill="1" applyBorder="1" applyAlignment="1">
      <alignment horizontal="center" vertical="center" shrinkToFit="1"/>
    </xf>
    <xf numFmtId="204" fontId="57" fillId="13" borderId="23" xfId="81" applyNumberFormat="1" applyFont="1" applyFill="1" applyBorder="1" applyAlignment="1">
      <alignment horizontal="center" vertical="center" shrinkToFit="1"/>
    </xf>
    <xf numFmtId="0" fontId="56" fillId="0" borderId="33" xfId="107" applyFont="1" applyBorder="1" applyAlignment="1">
      <alignment horizontal="right"/>
      <protection/>
    </xf>
    <xf numFmtId="0" fontId="57" fillId="13" borderId="22" xfId="107" applyFont="1" applyFill="1" applyBorder="1" applyAlignment="1">
      <alignment horizontal="center" vertical="center" shrinkToFit="1"/>
      <protection/>
    </xf>
    <xf numFmtId="0" fontId="57" fillId="13" borderId="23" xfId="107" applyFont="1" applyFill="1" applyBorder="1" applyAlignment="1">
      <alignment horizontal="center" vertical="center" shrinkToFit="1"/>
      <protection/>
    </xf>
    <xf numFmtId="0" fontId="24" fillId="13" borderId="21" xfId="107" applyFont="1" applyFill="1" applyBorder="1" applyAlignment="1">
      <alignment horizontal="center"/>
      <protection/>
    </xf>
    <xf numFmtId="204" fontId="26" fillId="55" borderId="31" xfId="81" applyNumberFormat="1" applyFont="1" applyFill="1" applyBorder="1" applyAlignment="1">
      <alignment horizontal="left"/>
    </xf>
    <xf numFmtId="204" fontId="26" fillId="55" borderId="4" xfId="81" applyNumberFormat="1" applyFont="1" applyFill="1" applyBorder="1" applyAlignment="1">
      <alignment horizontal="left"/>
    </xf>
    <xf numFmtId="204" fontId="26" fillId="55" borderId="24" xfId="81" applyNumberFormat="1" applyFont="1" applyFill="1" applyBorder="1" applyAlignment="1">
      <alignment horizontal="left"/>
    </xf>
    <xf numFmtId="0" fontId="24" fillId="13" borderId="22" xfId="107" applyFont="1" applyFill="1" applyBorder="1" applyAlignment="1">
      <alignment horizontal="center" vertical="center"/>
      <protection/>
    </xf>
    <xf numFmtId="0" fontId="24" fillId="13" borderId="23" xfId="107" applyFont="1" applyFill="1" applyBorder="1" applyAlignment="1">
      <alignment horizontal="center" vertical="center"/>
      <protection/>
    </xf>
    <xf numFmtId="49" fontId="25" fillId="13" borderId="31" xfId="107" applyNumberFormat="1" applyFont="1" applyFill="1" applyBorder="1" applyAlignment="1">
      <alignment horizontal="center"/>
      <protection/>
    </xf>
    <xf numFmtId="49" fontId="25" fillId="13" borderId="24" xfId="107" applyNumberFormat="1" applyFont="1" applyFill="1" applyBorder="1" applyAlignment="1">
      <alignment horizontal="center"/>
      <protection/>
    </xf>
    <xf numFmtId="3" fontId="24" fillId="13" borderId="22" xfId="107" applyNumberFormat="1" applyFont="1" applyFill="1" applyBorder="1" applyAlignment="1">
      <alignment horizontal="center" vertical="center" wrapText="1"/>
      <protection/>
    </xf>
    <xf numFmtId="3" fontId="24" fillId="13" borderId="23" xfId="107" applyNumberFormat="1" applyFont="1" applyFill="1" applyBorder="1" applyAlignment="1">
      <alignment horizontal="center" vertical="center" wrapText="1"/>
      <protection/>
    </xf>
    <xf numFmtId="3" fontId="24" fillId="13" borderId="22" xfId="107" applyNumberFormat="1" applyFont="1" applyFill="1" applyBorder="1" applyAlignment="1">
      <alignment horizontal="center" vertical="center"/>
      <protection/>
    </xf>
    <xf numFmtId="3" fontId="24" fillId="13" borderId="23" xfId="107" applyNumberFormat="1" applyFont="1" applyFill="1" applyBorder="1" applyAlignment="1">
      <alignment horizontal="center" vertical="center"/>
      <protection/>
    </xf>
    <xf numFmtId="3" fontId="24" fillId="56" borderId="31" xfId="107" applyNumberFormat="1" applyFont="1" applyFill="1" applyBorder="1" applyAlignment="1">
      <alignment horizontal="center"/>
      <protection/>
    </xf>
    <xf numFmtId="3" fontId="24" fillId="56" borderId="4" xfId="107" applyNumberFormat="1" applyFont="1" applyFill="1" applyBorder="1" applyAlignment="1">
      <alignment horizontal="center"/>
      <protection/>
    </xf>
    <xf numFmtId="204" fontId="26" fillId="55" borderId="31" xfId="81" applyNumberFormat="1" applyFont="1" applyFill="1" applyBorder="1" applyAlignment="1">
      <alignment horizontal="center"/>
    </xf>
    <xf numFmtId="204" fontId="26" fillId="55" borderId="4" xfId="81" applyNumberFormat="1" applyFont="1" applyFill="1" applyBorder="1" applyAlignment="1">
      <alignment horizontal="center"/>
    </xf>
    <xf numFmtId="3" fontId="24" fillId="56" borderId="24" xfId="107" applyNumberFormat="1" applyFont="1" applyFill="1" applyBorder="1" applyAlignment="1">
      <alignment horizontal="left"/>
      <protection/>
    </xf>
    <xf numFmtId="0" fontId="57" fillId="13" borderId="22" xfId="107" applyFont="1" applyFill="1" applyBorder="1" applyAlignment="1">
      <alignment horizontal="center" vertical="center"/>
      <protection/>
    </xf>
    <xf numFmtId="0" fontId="57" fillId="13" borderId="23" xfId="107" applyFont="1" applyFill="1" applyBorder="1" applyAlignment="1">
      <alignment horizontal="center" vertical="center"/>
      <protection/>
    </xf>
    <xf numFmtId="0" fontId="24" fillId="0" borderId="21" xfId="98" applyFont="1" applyBorder="1" applyAlignment="1">
      <alignment horizontal="center" vertical="center" wrapText="1"/>
      <protection/>
    </xf>
    <xf numFmtId="0" fontId="57" fillId="55" borderId="21" xfId="107" applyFont="1" applyFill="1" applyBorder="1" applyAlignment="1">
      <alignment horizontal="left"/>
      <protection/>
    </xf>
    <xf numFmtId="0" fontId="57" fillId="0" borderId="21" xfId="107" applyFont="1" applyFill="1" applyBorder="1" applyAlignment="1">
      <alignment horizontal="left"/>
      <protection/>
    </xf>
    <xf numFmtId="0" fontId="57" fillId="0" borderId="21" xfId="107" applyFont="1" applyFill="1" applyBorder="1" applyAlignment="1">
      <alignment horizontal="left" shrinkToFit="1"/>
      <protection/>
    </xf>
    <xf numFmtId="0" fontId="24" fillId="9" borderId="22" xfId="98" applyFont="1" applyFill="1" applyBorder="1" applyAlignment="1">
      <alignment horizontal="center" vertical="center" wrapText="1"/>
      <protection/>
    </xf>
    <xf numFmtId="0" fontId="24" fillId="9" borderId="23" xfId="98" applyFont="1" applyFill="1" applyBorder="1" applyAlignment="1">
      <alignment horizontal="center" vertical="center" wrapText="1"/>
      <protection/>
    </xf>
    <xf numFmtId="0" fontId="57" fillId="0" borderId="0" xfId="107" applyFont="1" applyBorder="1" applyAlignment="1">
      <alignment horizontal="center"/>
      <protection/>
    </xf>
    <xf numFmtId="0" fontId="24" fillId="9" borderId="21" xfId="98" applyFont="1" applyFill="1" applyBorder="1" applyAlignment="1">
      <alignment horizontal="center" vertical="center" wrapText="1"/>
      <protection/>
    </xf>
    <xf numFmtId="0" fontId="61" fillId="0" borderId="21" xfId="107" applyFont="1" applyFill="1" applyBorder="1" applyAlignment="1">
      <alignment horizontal="center"/>
      <protection/>
    </xf>
    <xf numFmtId="204" fontId="61" fillId="0" borderId="21" xfId="81" applyNumberFormat="1" applyFont="1" applyFill="1" applyBorder="1" applyAlignment="1">
      <alignment horizontal="center"/>
    </xf>
    <xf numFmtId="0" fontId="57" fillId="0" borderId="21" xfId="107" applyFont="1" applyFill="1" applyBorder="1" applyAlignment="1">
      <alignment shrinkToFit="1"/>
      <protection/>
    </xf>
    <xf numFmtId="0" fontId="24" fillId="13" borderId="34" xfId="98" applyFont="1" applyFill="1" applyBorder="1" applyAlignment="1">
      <alignment horizontal="left"/>
      <protection/>
    </xf>
    <xf numFmtId="0" fontId="24" fillId="13" borderId="0" xfId="98" applyFont="1" applyFill="1" applyBorder="1" applyAlignment="1">
      <alignment horizontal="left"/>
      <protection/>
    </xf>
    <xf numFmtId="0" fontId="24" fillId="13" borderId="35" xfId="98" applyFont="1" applyFill="1" applyBorder="1" applyAlignment="1">
      <alignment horizontal="left"/>
      <protection/>
    </xf>
    <xf numFmtId="0" fontId="61" fillId="55" borderId="21" xfId="107" applyFont="1" applyFill="1" applyBorder="1" applyAlignment="1">
      <alignment horizontal="center"/>
      <protection/>
    </xf>
    <xf numFmtId="204" fontId="61" fillId="55" borderId="21" xfId="81" applyNumberFormat="1" applyFont="1" applyFill="1" applyBorder="1" applyAlignment="1">
      <alignment horizontal="center"/>
    </xf>
    <xf numFmtId="0" fontId="24" fillId="30" borderId="34" xfId="98" applyFont="1" applyFill="1" applyBorder="1" applyAlignment="1">
      <alignment horizontal="left"/>
      <protection/>
    </xf>
    <xf numFmtId="0" fontId="24" fillId="30" borderId="0" xfId="98" applyFont="1" applyFill="1" applyBorder="1" applyAlignment="1">
      <alignment horizontal="left"/>
      <protection/>
    </xf>
    <xf numFmtId="0" fontId="24" fillId="30" borderId="35" xfId="98" applyFont="1" applyFill="1" applyBorder="1" applyAlignment="1">
      <alignment horizontal="left"/>
      <protection/>
    </xf>
    <xf numFmtId="0" fontId="24" fillId="18" borderId="34" xfId="98" applyFont="1" applyFill="1" applyBorder="1" applyAlignment="1">
      <alignment horizontal="left"/>
      <protection/>
    </xf>
    <xf numFmtId="0" fontId="24" fillId="18" borderId="0" xfId="98" applyFont="1" applyFill="1" applyBorder="1" applyAlignment="1">
      <alignment horizontal="left"/>
      <protection/>
    </xf>
    <xf numFmtId="0" fontId="24" fillId="18" borderId="35" xfId="98" applyFont="1" applyFill="1" applyBorder="1" applyAlignment="1">
      <alignment horizontal="left"/>
      <protection/>
    </xf>
    <xf numFmtId="0" fontId="57" fillId="0" borderId="21" xfId="107" applyFont="1" applyFill="1" applyBorder="1" applyAlignment="1">
      <alignment/>
      <protection/>
    </xf>
    <xf numFmtId="0" fontId="56" fillId="0" borderId="0" xfId="107" applyFont="1" applyBorder="1" applyAlignment="1">
      <alignment horizontal="center"/>
      <protection/>
    </xf>
    <xf numFmtId="0" fontId="24" fillId="11" borderId="21" xfId="98" applyFont="1" applyFill="1" applyBorder="1" applyAlignment="1">
      <alignment horizontal="center" vertical="center"/>
      <protection/>
    </xf>
    <xf numFmtId="0" fontId="24" fillId="11" borderId="31" xfId="98" applyFont="1" applyFill="1" applyBorder="1" applyAlignment="1">
      <alignment horizontal="center"/>
      <protection/>
    </xf>
    <xf numFmtId="0" fontId="24" fillId="11" borderId="4" xfId="98" applyFont="1" applyFill="1" applyBorder="1" applyAlignment="1">
      <alignment horizontal="center"/>
      <protection/>
    </xf>
    <xf numFmtId="0" fontId="24" fillId="11" borderId="24" xfId="98" applyFont="1" applyFill="1" applyBorder="1" applyAlignment="1">
      <alignment horizontal="center"/>
      <protection/>
    </xf>
    <xf numFmtId="0" fontId="24" fillId="13" borderId="31" xfId="98" applyFont="1" applyFill="1" applyBorder="1" applyAlignment="1">
      <alignment horizontal="left"/>
      <protection/>
    </xf>
    <xf numFmtId="0" fontId="24" fillId="13" borderId="4" xfId="98" applyFont="1" applyFill="1" applyBorder="1" applyAlignment="1">
      <alignment horizontal="left"/>
      <protection/>
    </xf>
    <xf numFmtId="0" fontId="24" fillId="13" borderId="24" xfId="98" applyFont="1" applyFill="1" applyBorder="1" applyAlignment="1">
      <alignment horizontal="left"/>
      <protection/>
    </xf>
    <xf numFmtId="0" fontId="24" fillId="13" borderId="36" xfId="98" applyFont="1" applyFill="1" applyBorder="1" applyAlignment="1">
      <alignment horizontal="left"/>
      <protection/>
    </xf>
    <xf numFmtId="0" fontId="24" fillId="13" borderId="33" xfId="98" applyFont="1" applyFill="1" applyBorder="1" applyAlignment="1">
      <alignment horizontal="left"/>
      <protection/>
    </xf>
    <xf numFmtId="0" fontId="57" fillId="55" borderId="31" xfId="107" applyFont="1" applyFill="1" applyBorder="1" applyAlignment="1">
      <alignment horizontal="left"/>
      <protection/>
    </xf>
    <xf numFmtId="0" fontId="57" fillId="55" borderId="4" xfId="107" applyFont="1" applyFill="1" applyBorder="1" applyAlignment="1">
      <alignment horizontal="left"/>
      <protection/>
    </xf>
    <xf numFmtId="0" fontId="57" fillId="55" borderId="24" xfId="107" applyFont="1" applyFill="1" applyBorder="1" applyAlignment="1">
      <alignment horizontal="left"/>
      <protection/>
    </xf>
    <xf numFmtId="0" fontId="57" fillId="0" borderId="31" xfId="107" applyFont="1" applyFill="1" applyBorder="1" applyAlignment="1">
      <alignment horizontal="left"/>
      <protection/>
    </xf>
    <xf numFmtId="0" fontId="57" fillId="0" borderId="4" xfId="107" applyFont="1" applyFill="1" applyBorder="1" applyAlignment="1">
      <alignment horizontal="left"/>
      <protection/>
    </xf>
    <xf numFmtId="0" fontId="57" fillId="0" borderId="24" xfId="107" applyFont="1" applyFill="1" applyBorder="1" applyAlignment="1">
      <alignment horizontal="left"/>
      <protection/>
    </xf>
    <xf numFmtId="0" fontId="57" fillId="0" borderId="31" xfId="107" applyFont="1" applyFill="1" applyBorder="1" applyAlignment="1">
      <alignment horizontal="left" shrinkToFit="1"/>
      <protection/>
    </xf>
    <xf numFmtId="0" fontId="57" fillId="0" borderId="4" xfId="107" applyFont="1" applyFill="1" applyBorder="1" applyAlignment="1">
      <alignment horizontal="left" shrinkToFit="1"/>
      <protection/>
    </xf>
    <xf numFmtId="0" fontId="57" fillId="0" borderId="24" xfId="107" applyFont="1" applyFill="1" applyBorder="1" applyAlignment="1">
      <alignment horizontal="left" shrinkToFit="1"/>
      <protection/>
    </xf>
    <xf numFmtId="0" fontId="57" fillId="8" borderId="21" xfId="0" applyFont="1" applyFill="1" applyBorder="1" applyAlignment="1">
      <alignment horizontal="center" vertical="center"/>
    </xf>
    <xf numFmtId="0" fontId="57" fillId="8" borderId="22" xfId="0" applyFont="1" applyFill="1" applyBorder="1" applyAlignment="1">
      <alignment horizontal="center" vertical="center" wrapText="1"/>
    </xf>
    <xf numFmtId="0" fontId="57" fillId="8" borderId="25" xfId="0" applyFont="1" applyFill="1" applyBorder="1" applyAlignment="1">
      <alignment horizontal="center" vertical="center" wrapText="1"/>
    </xf>
    <xf numFmtId="0" fontId="57" fillId="8" borderId="23" xfId="0" applyFont="1" applyFill="1" applyBorder="1" applyAlignment="1">
      <alignment horizontal="center" vertical="center" wrapText="1"/>
    </xf>
    <xf numFmtId="0" fontId="24" fillId="0" borderId="21" xfId="101" applyFont="1" applyBorder="1" applyAlignment="1" quotePrefix="1">
      <alignment horizontal="center"/>
      <protection/>
    </xf>
    <xf numFmtId="0" fontId="24" fillId="59" borderId="21" xfId="0" applyFont="1" applyFill="1" applyBorder="1" applyAlignment="1">
      <alignment horizontal="left"/>
    </xf>
    <xf numFmtId="0" fontId="24" fillId="40" borderId="21" xfId="0" applyFont="1" applyFill="1" applyBorder="1" applyAlignment="1">
      <alignment horizontal="left"/>
    </xf>
    <xf numFmtId="0" fontId="24" fillId="7" borderId="31" xfId="0" applyFont="1" applyFill="1" applyBorder="1" applyAlignment="1">
      <alignment horizontal="left"/>
    </xf>
    <xf numFmtId="0" fontId="24" fillId="7" borderId="24" xfId="0" applyFont="1" applyFill="1" applyBorder="1" applyAlignment="1">
      <alignment horizontal="left"/>
    </xf>
    <xf numFmtId="0" fontId="24" fillId="0" borderId="0" xfId="101" applyFont="1" applyFill="1" applyAlignment="1">
      <alignment horizontal="center"/>
      <protection/>
    </xf>
    <xf numFmtId="0" fontId="24" fillId="0" borderId="21" xfId="101" applyFont="1" applyBorder="1" applyAlignment="1">
      <alignment horizontal="center" vertical="center"/>
      <protection/>
    </xf>
    <xf numFmtId="0" fontId="24" fillId="0" borderId="21" xfId="101" applyFont="1" applyBorder="1" applyAlignment="1">
      <alignment horizontal="center"/>
      <protection/>
    </xf>
    <xf numFmtId="0" fontId="24" fillId="0" borderId="21" xfId="101" applyFont="1" applyBorder="1">
      <alignment/>
      <protection/>
    </xf>
    <xf numFmtId="0" fontId="24" fillId="59" borderId="22" xfId="101" applyFont="1" applyFill="1" applyBorder="1" applyAlignment="1">
      <alignment horizontal="center" vertical="center"/>
      <protection/>
    </xf>
    <xf numFmtId="0" fontId="24" fillId="59" borderId="25" xfId="101" applyFont="1" applyFill="1" applyBorder="1" applyAlignment="1">
      <alignment horizontal="center" vertical="center"/>
      <protection/>
    </xf>
    <xf numFmtId="0" fontId="24" fillId="59" borderId="23" xfId="101" applyFont="1" applyFill="1" applyBorder="1" applyAlignment="1">
      <alignment horizontal="center" vertical="center"/>
      <protection/>
    </xf>
    <xf numFmtId="0" fontId="24" fillId="58" borderId="22" xfId="101" applyFont="1" applyFill="1" applyBorder="1" applyAlignment="1">
      <alignment horizontal="center" vertical="center"/>
      <protection/>
    </xf>
    <xf numFmtId="0" fontId="24" fillId="58" borderId="25" xfId="101" applyFont="1" applyFill="1" applyBorder="1" applyAlignment="1">
      <alignment horizontal="center" vertical="center"/>
      <protection/>
    </xf>
    <xf numFmtId="0" fontId="24" fillId="58" borderId="23" xfId="101" applyFont="1" applyFill="1" applyBorder="1" applyAlignment="1">
      <alignment horizontal="center" vertical="center"/>
      <protection/>
    </xf>
    <xf numFmtId="0" fontId="57" fillId="0" borderId="26" xfId="107" applyFont="1" applyBorder="1" applyAlignment="1">
      <alignment horizontal="center"/>
      <protection/>
    </xf>
    <xf numFmtId="0" fontId="57" fillId="10" borderId="22" xfId="107" applyFont="1" applyFill="1" applyBorder="1" applyAlignment="1">
      <alignment horizontal="center" vertical="center"/>
      <protection/>
    </xf>
    <xf numFmtId="0" fontId="57" fillId="10" borderId="25" xfId="107" applyFont="1" applyFill="1" applyBorder="1" applyAlignment="1">
      <alignment horizontal="center" vertical="center"/>
      <protection/>
    </xf>
    <xf numFmtId="0" fontId="57" fillId="10" borderId="23" xfId="107" applyFont="1" applyFill="1" applyBorder="1" applyAlignment="1">
      <alignment horizontal="center" vertical="center"/>
      <protection/>
    </xf>
    <xf numFmtId="0" fontId="24" fillId="10" borderId="31" xfId="107" applyFont="1" applyFill="1" applyBorder="1" applyAlignment="1">
      <alignment horizontal="center"/>
      <protection/>
    </xf>
    <xf numFmtId="0" fontId="24" fillId="10" borderId="4" xfId="107" applyFont="1" applyFill="1" applyBorder="1" applyAlignment="1">
      <alignment horizontal="center"/>
      <protection/>
    </xf>
    <xf numFmtId="0" fontId="24" fillId="10" borderId="24" xfId="107" applyFont="1" applyFill="1" applyBorder="1" applyAlignment="1">
      <alignment horizontal="center"/>
      <protection/>
    </xf>
    <xf numFmtId="0" fontId="57" fillId="10" borderId="21" xfId="107" applyFont="1" applyFill="1" applyBorder="1" applyAlignment="1">
      <alignment horizontal="center" vertical="center" wrapText="1"/>
      <protection/>
    </xf>
    <xf numFmtId="0" fontId="57" fillId="11" borderId="22" xfId="107" applyFont="1" applyFill="1" applyBorder="1" applyAlignment="1">
      <alignment horizontal="center" vertical="center"/>
      <protection/>
    </xf>
    <xf numFmtId="0" fontId="57" fillId="11" borderId="25" xfId="107" applyFont="1" applyFill="1" applyBorder="1" applyAlignment="1">
      <alignment horizontal="center" vertical="center"/>
      <protection/>
    </xf>
    <xf numFmtId="0" fontId="57" fillId="11" borderId="23" xfId="107" applyFont="1" applyFill="1" applyBorder="1" applyAlignment="1">
      <alignment horizontal="center" vertical="center"/>
      <protection/>
    </xf>
    <xf numFmtId="43" fontId="57" fillId="11" borderId="37" xfId="61" applyFont="1" applyFill="1" applyBorder="1" applyAlignment="1">
      <alignment horizontal="center" vertical="center" wrapText="1"/>
    </xf>
    <xf numFmtId="43" fontId="57" fillId="11" borderId="35" xfId="61" applyFont="1" applyFill="1" applyBorder="1" applyAlignment="1">
      <alignment horizontal="center" vertical="center" wrapText="1"/>
    </xf>
    <xf numFmtId="43" fontId="57" fillId="11" borderId="27" xfId="61" applyFont="1" applyFill="1" applyBorder="1" applyAlignment="1">
      <alignment horizontal="center" vertical="center" wrapText="1"/>
    </xf>
    <xf numFmtId="0" fontId="24" fillId="11" borderId="31" xfId="107" applyFont="1" applyFill="1" applyBorder="1" applyAlignment="1">
      <alignment horizontal="center"/>
      <protection/>
    </xf>
    <xf numFmtId="0" fontId="24" fillId="11" borderId="4" xfId="107" applyFont="1" applyFill="1" applyBorder="1" applyAlignment="1">
      <alignment horizontal="center"/>
      <protection/>
    </xf>
    <xf numFmtId="0" fontId="24" fillId="11" borderId="24" xfId="107" applyFont="1" applyFill="1" applyBorder="1" applyAlignment="1">
      <alignment horizontal="center"/>
      <protection/>
    </xf>
    <xf numFmtId="0" fontId="57" fillId="12" borderId="22" xfId="107" applyFont="1" applyFill="1" applyBorder="1" applyAlignment="1">
      <alignment horizontal="center" vertical="center"/>
      <protection/>
    </xf>
    <xf numFmtId="0" fontId="57" fillId="12" borderId="25" xfId="107" applyFont="1" applyFill="1" applyBorder="1" applyAlignment="1">
      <alignment horizontal="center" vertical="center"/>
      <protection/>
    </xf>
    <xf numFmtId="0" fontId="57" fillId="12" borderId="23" xfId="107" applyFont="1" applyFill="1" applyBorder="1" applyAlignment="1">
      <alignment horizontal="center" vertical="center"/>
      <protection/>
    </xf>
    <xf numFmtId="0" fontId="57" fillId="12" borderId="21" xfId="107" applyFont="1" applyFill="1" applyBorder="1" applyAlignment="1">
      <alignment horizontal="center" vertical="center" wrapText="1"/>
      <protection/>
    </xf>
    <xf numFmtId="0" fontId="57" fillId="12" borderId="31" xfId="107" applyFont="1" applyFill="1" applyBorder="1" applyAlignment="1">
      <alignment horizontal="center"/>
      <protection/>
    </xf>
    <xf numFmtId="0" fontId="57" fillId="12" borderId="4" xfId="107" applyFont="1" applyFill="1" applyBorder="1" applyAlignment="1">
      <alignment horizontal="center"/>
      <protection/>
    </xf>
    <xf numFmtId="0" fontId="57" fillId="12" borderId="24" xfId="107" applyFont="1" applyFill="1" applyBorder="1" applyAlignment="1">
      <alignment horizontal="center"/>
      <protection/>
    </xf>
    <xf numFmtId="0" fontId="57" fillId="0" borderId="38" xfId="0" applyFont="1" applyBorder="1" applyAlignment="1">
      <alignment horizontal="center"/>
    </xf>
    <xf numFmtId="0" fontId="57" fillId="0" borderId="39" xfId="0" applyFont="1" applyBorder="1" applyAlignment="1">
      <alignment horizontal="center"/>
    </xf>
    <xf numFmtId="0" fontId="57" fillId="0" borderId="4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22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wrapText="1"/>
    </xf>
  </cellXfs>
  <cellStyles count="140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75" xfId="51"/>
    <cellStyle name="Accent1 2" xfId="52"/>
    <cellStyle name="Accent2 2" xfId="53"/>
    <cellStyle name="Accent3 2" xfId="54"/>
    <cellStyle name="Accent4 2" xfId="55"/>
    <cellStyle name="Accent5 2" xfId="56"/>
    <cellStyle name="Accent6 2" xfId="57"/>
    <cellStyle name="Bad 2" xfId="58"/>
    <cellStyle name="Calculation 2" xfId="59"/>
    <cellStyle name="Check Cell 2" xfId="60"/>
    <cellStyle name="Comma 10" xfId="61"/>
    <cellStyle name="Comma 11" xfId="62"/>
    <cellStyle name="Comma 12" xfId="63"/>
    <cellStyle name="Comma 13" xfId="64"/>
    <cellStyle name="Comma 14" xfId="65"/>
    <cellStyle name="Comma 15" xfId="66"/>
    <cellStyle name="Comma 16" xfId="67"/>
    <cellStyle name="Comma 2" xfId="68"/>
    <cellStyle name="Comma 2 2" xfId="69"/>
    <cellStyle name="Comma 2 3" xfId="70"/>
    <cellStyle name="Comma 2 4" xfId="71"/>
    <cellStyle name="Comma 3" xfId="72"/>
    <cellStyle name="Comma 3 2" xfId="73"/>
    <cellStyle name="Comma 3_สรุปการเบิกจ่าย 1 ต.ค.51-29 พ.ค.52" xfId="74"/>
    <cellStyle name="Comma 4" xfId="75"/>
    <cellStyle name="Comma 4 2" xfId="76"/>
    <cellStyle name="Comma 5" xfId="77"/>
    <cellStyle name="Comma 5 2" xfId="78"/>
    <cellStyle name="Comma 5 3" xfId="79"/>
    <cellStyle name="Comma 5 3 2" xfId="80"/>
    <cellStyle name="Comma 6" xfId="81"/>
    <cellStyle name="Comma 7" xfId="82"/>
    <cellStyle name="Comma 7 2" xfId="83"/>
    <cellStyle name="Comma 8" xfId="84"/>
    <cellStyle name="Comma 9" xfId="85"/>
    <cellStyle name="Explanatory Text 2" xfId="86"/>
    <cellStyle name="Good 2" xfId="87"/>
    <cellStyle name="Header1" xfId="88"/>
    <cellStyle name="Header2" xfId="89"/>
    <cellStyle name="Heading 1 2" xfId="90"/>
    <cellStyle name="Heading 2 2" xfId="91"/>
    <cellStyle name="Heading 3 2" xfId="92"/>
    <cellStyle name="Heading 4 2" xfId="93"/>
    <cellStyle name="Hyperlink 2" xfId="94"/>
    <cellStyle name="Input 2" xfId="95"/>
    <cellStyle name="Linked Cell 2" xfId="96"/>
    <cellStyle name="Neutral 2" xfId="97"/>
    <cellStyle name="Normal 2" xfId="98"/>
    <cellStyle name="Normal 2 2" xfId="99"/>
    <cellStyle name="Normal 2_ทะเบียนคุมรายจ่าย 52" xfId="100"/>
    <cellStyle name="Normal 3" xfId="101"/>
    <cellStyle name="Normal 4" xfId="102"/>
    <cellStyle name="Normal 4 2" xfId="103"/>
    <cellStyle name="Normal 4 3" xfId="104"/>
    <cellStyle name="Normal 4 4" xfId="105"/>
    <cellStyle name="Normal 4 4 2" xfId="106"/>
    <cellStyle name="Normal 5" xfId="107"/>
    <cellStyle name="Normal 6" xfId="108"/>
    <cellStyle name="Normal 7" xfId="109"/>
    <cellStyle name="Normal 8" xfId="110"/>
    <cellStyle name="Normal 9" xfId="111"/>
    <cellStyle name="Note 2" xfId="112"/>
    <cellStyle name="Output 2" xfId="113"/>
    <cellStyle name="Percent 2" xfId="114"/>
    <cellStyle name="Percent 3" xfId="115"/>
    <cellStyle name="Title 2" xfId="116"/>
    <cellStyle name="Total 2" xfId="117"/>
    <cellStyle name="Warning Text 2" xfId="118"/>
    <cellStyle name="การคำนวณ" xfId="119"/>
    <cellStyle name="ข้อความเตือน" xfId="120"/>
    <cellStyle name="ข้อความอธิบาย" xfId="121"/>
    <cellStyle name="เครื่องหมายจุลภาค_Sheet2" xfId="122"/>
    <cellStyle name="Comma" xfId="123"/>
    <cellStyle name="Comma [0]" xfId="124"/>
    <cellStyle name="ชื่อเรื่อง" xfId="125"/>
    <cellStyle name="เซลล์ตรวจสอบ" xfId="126"/>
    <cellStyle name="เซลล์ที่มีลิงก์" xfId="127"/>
    <cellStyle name="ดี" xfId="128"/>
    <cellStyle name="น้บะภฒ_95" xfId="129"/>
    <cellStyle name="ป้อนค่า" xfId="130"/>
    <cellStyle name="ปานกลาง" xfId="131"/>
    <cellStyle name="Percent" xfId="132"/>
    <cellStyle name="ผลรวม" xfId="133"/>
    <cellStyle name="แย่" xfId="134"/>
    <cellStyle name="ฤธถ [0]_95" xfId="135"/>
    <cellStyle name="ฤธถ_95" xfId="136"/>
    <cellStyle name="ล๋ศญ [0]_95" xfId="137"/>
    <cellStyle name="ล๋ศญ_95" xfId="138"/>
    <cellStyle name="วฅมุ_4ฟ๙ฝวภ๛" xfId="139"/>
    <cellStyle name="Currency" xfId="140"/>
    <cellStyle name="Currency [0]" xfId="141"/>
    <cellStyle name="ส่วนที่ถูกเน้น1" xfId="142"/>
    <cellStyle name="ส่วนที่ถูกเน้น2" xfId="143"/>
    <cellStyle name="ส่วนที่ถูกเน้น3" xfId="144"/>
    <cellStyle name="ส่วนที่ถูกเน้น4" xfId="145"/>
    <cellStyle name="ส่วนที่ถูกเน้น5" xfId="146"/>
    <cellStyle name="ส่วนที่ถูกเน้น6" xfId="147"/>
    <cellStyle name="แสดงผล" xfId="148"/>
    <cellStyle name="หมายเหตุ" xfId="149"/>
    <cellStyle name="หัวเรื่อง 1" xfId="150"/>
    <cellStyle name="หัวเรื่อง 2" xfId="151"/>
    <cellStyle name="หัวเรื่อง 3" xfId="152"/>
    <cellStyle name="หัวเรื่อง 4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view="pageBreakPreview" zoomScale="98" zoomScaleSheetLayoutView="98" zoomScalePageLayoutView="0" workbookViewId="0" topLeftCell="A1">
      <selection activeCell="E7" sqref="E7:E8"/>
    </sheetView>
  </sheetViews>
  <sheetFormatPr defaultColWidth="7.7109375" defaultRowHeight="15"/>
  <cols>
    <col min="1" max="1" width="12.7109375" style="15" bestFit="1" customWidth="1"/>
    <col min="2" max="2" width="9.140625" style="16" bestFit="1" customWidth="1"/>
    <col min="3" max="3" width="22.7109375" style="15" bestFit="1" customWidth="1"/>
    <col min="4" max="4" width="11.140625" style="15" bestFit="1" customWidth="1"/>
    <col min="5" max="5" width="13.7109375" style="15" bestFit="1" customWidth="1"/>
    <col min="6" max="6" width="9.140625" style="16" bestFit="1" customWidth="1"/>
    <col min="7" max="7" width="7.7109375" style="15" customWidth="1"/>
    <col min="8" max="8" width="10.140625" style="15" customWidth="1"/>
    <col min="9" max="9" width="7.7109375" style="15" customWidth="1"/>
    <col min="10" max="10" width="11.421875" style="15" customWidth="1"/>
    <col min="11" max="11" width="7.421875" style="15" bestFit="1" customWidth="1"/>
    <col min="12" max="12" width="16.8515625" style="15" customWidth="1"/>
    <col min="13" max="13" width="7.140625" style="15" customWidth="1"/>
    <col min="14" max="14" width="15.00390625" style="15" customWidth="1"/>
    <col min="15" max="15" width="11.140625" style="15" bestFit="1" customWidth="1"/>
    <col min="16" max="16" width="13.7109375" style="15" bestFit="1" customWidth="1"/>
    <col min="17" max="17" width="15.140625" style="16" customWidth="1"/>
    <col min="18" max="18" width="12.140625" style="15" bestFit="1" customWidth="1"/>
    <col min="19" max="19" width="3.421875" style="15" bestFit="1" customWidth="1"/>
    <col min="20" max="20" width="4.421875" style="15" bestFit="1" customWidth="1"/>
    <col min="21" max="21" width="7.140625" style="15" bestFit="1" customWidth="1"/>
    <col min="22" max="22" width="6.7109375" style="15" bestFit="1" customWidth="1"/>
    <col min="23" max="23" width="7.140625" style="15" bestFit="1" customWidth="1"/>
    <col min="24" max="24" width="8.57421875" style="15" bestFit="1" customWidth="1"/>
    <col min="25" max="16384" width="7.7109375" style="15" customWidth="1"/>
  </cols>
  <sheetData>
    <row r="1" spans="1:18" s="1" customFormat="1" ht="21">
      <c r="A1" s="210" t="s">
        <v>242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s="1" customFormat="1" ht="21">
      <c r="A2" s="210" t="s">
        <v>45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</row>
    <row r="3" spans="1:18" s="1" customFormat="1" ht="21">
      <c r="A3" s="210" t="s">
        <v>42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</row>
    <row r="4" spans="1:18" s="1" customFormat="1" ht="21">
      <c r="A4" s="212" t="s">
        <v>225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</row>
    <row r="5" spans="1:18" s="1" customFormat="1" ht="21">
      <c r="A5" s="169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7" t="s">
        <v>213</v>
      </c>
    </row>
    <row r="6" spans="1:18" ht="19.5">
      <c r="A6" s="213" t="s">
        <v>245</v>
      </c>
      <c r="B6" s="213"/>
      <c r="C6" s="213"/>
      <c r="D6" s="213"/>
      <c r="E6" s="213" t="s">
        <v>250</v>
      </c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03" t="s">
        <v>0</v>
      </c>
      <c r="Q6" s="204"/>
      <c r="R6" s="205"/>
    </row>
    <row r="7" spans="1:18" ht="19.5">
      <c r="A7" s="206" t="s">
        <v>1</v>
      </c>
      <c r="B7" s="20" t="s">
        <v>105</v>
      </c>
      <c r="C7" s="187" t="s">
        <v>226</v>
      </c>
      <c r="D7" s="214" t="s">
        <v>3</v>
      </c>
      <c r="E7" s="206" t="s">
        <v>1</v>
      </c>
      <c r="F7" s="20" t="s">
        <v>105</v>
      </c>
      <c r="G7" s="208" t="s">
        <v>227</v>
      </c>
      <c r="H7" s="209"/>
      <c r="I7" s="208" t="s">
        <v>228</v>
      </c>
      <c r="J7" s="209"/>
      <c r="K7" s="208" t="s">
        <v>229</v>
      </c>
      <c r="L7" s="209"/>
      <c r="M7" s="208" t="s">
        <v>230</v>
      </c>
      <c r="N7" s="209"/>
      <c r="O7" s="214" t="s">
        <v>3</v>
      </c>
      <c r="P7" s="206" t="s">
        <v>1</v>
      </c>
      <c r="Q7" s="222" t="s">
        <v>241</v>
      </c>
      <c r="R7" s="214" t="s">
        <v>3</v>
      </c>
    </row>
    <row r="8" spans="1:18" ht="19.5">
      <c r="A8" s="207"/>
      <c r="B8" s="20" t="s">
        <v>123</v>
      </c>
      <c r="C8" s="2" t="s">
        <v>151</v>
      </c>
      <c r="D8" s="215"/>
      <c r="E8" s="207"/>
      <c r="F8" s="20" t="s">
        <v>123</v>
      </c>
      <c r="G8" s="2" t="s">
        <v>151</v>
      </c>
      <c r="H8" s="2" t="s">
        <v>105</v>
      </c>
      <c r="I8" s="2" t="s">
        <v>151</v>
      </c>
      <c r="J8" s="2" t="s">
        <v>105</v>
      </c>
      <c r="K8" s="2" t="s">
        <v>151</v>
      </c>
      <c r="L8" s="2" t="s">
        <v>105</v>
      </c>
      <c r="M8" s="2" t="s">
        <v>151</v>
      </c>
      <c r="N8" s="2" t="s">
        <v>105</v>
      </c>
      <c r="O8" s="215"/>
      <c r="P8" s="207"/>
      <c r="Q8" s="223"/>
      <c r="R8" s="215"/>
    </row>
    <row r="9" spans="1:24" ht="19.5">
      <c r="A9" s="11" t="s">
        <v>25</v>
      </c>
      <c r="B9" s="146"/>
      <c r="C9" s="188">
        <v>14000</v>
      </c>
      <c r="D9" s="147">
        <f>+B9*C9</f>
        <v>0</v>
      </c>
      <c r="E9" s="148" t="s">
        <v>25</v>
      </c>
      <c r="F9" s="146"/>
      <c r="G9" s="149">
        <v>17000</v>
      </c>
      <c r="H9" s="189">
        <f>+G9*F9</f>
        <v>0</v>
      </c>
      <c r="I9" s="149">
        <v>20000</v>
      </c>
      <c r="J9" s="189">
        <f>+I9*F9</f>
        <v>0</v>
      </c>
      <c r="K9" s="149">
        <v>13500</v>
      </c>
      <c r="L9" s="189">
        <f>+K9*F9</f>
        <v>0</v>
      </c>
      <c r="M9" s="149">
        <v>500</v>
      </c>
      <c r="N9" s="189">
        <f>+M9*F9</f>
        <v>0</v>
      </c>
      <c r="O9" s="147">
        <f>+N9+L9+J9+H9</f>
        <v>0</v>
      </c>
      <c r="P9" s="148" t="s">
        <v>25</v>
      </c>
      <c r="Q9" s="146">
        <f>+B9+F9</f>
        <v>0</v>
      </c>
      <c r="R9" s="149">
        <f>+D9+O9</f>
        <v>0</v>
      </c>
      <c r="V9" s="150"/>
      <c r="X9" s="150"/>
    </row>
    <row r="10" spans="1:18" ht="19.5">
      <c r="A10" s="11" t="s">
        <v>34</v>
      </c>
      <c r="B10" s="146"/>
      <c r="C10" s="188">
        <v>14000</v>
      </c>
      <c r="D10" s="147">
        <f>+B10*C10</f>
        <v>0</v>
      </c>
      <c r="E10" s="148" t="s">
        <v>34</v>
      </c>
      <c r="F10" s="146"/>
      <c r="G10" s="190"/>
      <c r="H10" s="190"/>
      <c r="I10" s="190"/>
      <c r="J10" s="190"/>
      <c r="K10" s="149">
        <v>13500</v>
      </c>
      <c r="L10" s="189">
        <f>+K10*F10</f>
        <v>0</v>
      </c>
      <c r="M10" s="149">
        <v>500</v>
      </c>
      <c r="N10" s="189">
        <f>+M10*F10</f>
        <v>0</v>
      </c>
      <c r="O10" s="147">
        <f>+N10+L10+J10+H10</f>
        <v>0</v>
      </c>
      <c r="P10" s="148" t="s">
        <v>34</v>
      </c>
      <c r="Q10" s="146">
        <f>+B10+F10</f>
        <v>0</v>
      </c>
      <c r="R10" s="149">
        <f>+D10+O10</f>
        <v>0</v>
      </c>
    </row>
    <row r="11" spans="1:18" ht="19.5">
      <c r="A11" s="12" t="s">
        <v>26</v>
      </c>
      <c r="B11" s="146"/>
      <c r="C11" s="188">
        <v>14000</v>
      </c>
      <c r="D11" s="147">
        <f>+B11*C11</f>
        <v>0</v>
      </c>
      <c r="E11" s="151" t="s">
        <v>26</v>
      </c>
      <c r="F11" s="146"/>
      <c r="G11" s="190"/>
      <c r="H11" s="190"/>
      <c r="I11" s="190"/>
      <c r="J11" s="190"/>
      <c r="K11" s="149">
        <v>13500</v>
      </c>
      <c r="L11" s="189">
        <f>+K11*F11</f>
        <v>0</v>
      </c>
      <c r="M11" s="149">
        <v>500</v>
      </c>
      <c r="N11" s="189">
        <f>+M11*F11</f>
        <v>0</v>
      </c>
      <c r="O11" s="147">
        <f>+N11+L11+J11+H11</f>
        <v>0</v>
      </c>
      <c r="P11" s="151" t="s">
        <v>26</v>
      </c>
      <c r="Q11" s="146">
        <f>+B11+F11</f>
        <v>0</v>
      </c>
      <c r="R11" s="149">
        <f>+D11+O11</f>
        <v>0</v>
      </c>
    </row>
    <row r="12" spans="1:18" ht="19.5">
      <c r="A12" s="13" t="s">
        <v>27</v>
      </c>
      <c r="B12" s="152">
        <f>SUM(B9:B11)</f>
        <v>0</v>
      </c>
      <c r="C12" s="152">
        <f>SUM(C9:C11)</f>
        <v>42000</v>
      </c>
      <c r="D12" s="152">
        <f>SUM(D9:D11)</f>
        <v>0</v>
      </c>
      <c r="E12" s="153" t="s">
        <v>27</v>
      </c>
      <c r="F12" s="152">
        <f>SUM(F9:F11)</f>
        <v>0</v>
      </c>
      <c r="G12" s="152">
        <f aca="true" t="shared" si="0" ref="G12:N12">SUM(G9:G11)</f>
        <v>17000</v>
      </c>
      <c r="H12" s="152">
        <f t="shared" si="0"/>
        <v>0</v>
      </c>
      <c r="I12" s="152">
        <f t="shared" si="0"/>
        <v>20000</v>
      </c>
      <c r="J12" s="152">
        <f t="shared" si="0"/>
        <v>0</v>
      </c>
      <c r="K12" s="152">
        <f t="shared" si="0"/>
        <v>40500</v>
      </c>
      <c r="L12" s="152">
        <f>SUM(L9:L11)</f>
        <v>0</v>
      </c>
      <c r="M12" s="152">
        <f t="shared" si="0"/>
        <v>1500</v>
      </c>
      <c r="N12" s="152">
        <f t="shared" si="0"/>
        <v>0</v>
      </c>
      <c r="O12" s="152">
        <f>SUM(O9:O11)</f>
        <v>0</v>
      </c>
      <c r="P12" s="153" t="s">
        <v>27</v>
      </c>
      <c r="Q12" s="152">
        <f>SUM(Q9:Q11)</f>
        <v>0</v>
      </c>
      <c r="R12" s="152">
        <f>SUM(R9:R11)</f>
        <v>0</v>
      </c>
    </row>
    <row r="13" spans="1:24" ht="19.5">
      <c r="A13" s="11" t="s">
        <v>28</v>
      </c>
      <c r="B13" s="154"/>
      <c r="C13" s="188">
        <v>14000</v>
      </c>
      <c r="D13" s="147">
        <f>+B13*C13</f>
        <v>0</v>
      </c>
      <c r="E13" s="155" t="s">
        <v>28</v>
      </c>
      <c r="F13" s="146"/>
      <c r="G13" s="147">
        <v>17000</v>
      </c>
      <c r="H13" s="188">
        <f>-G13*F13</f>
        <v>0</v>
      </c>
      <c r="I13" s="191"/>
      <c r="J13" s="191"/>
      <c r="K13" s="149">
        <v>13500</v>
      </c>
      <c r="L13" s="189">
        <f>+K13*F13</f>
        <v>0</v>
      </c>
      <c r="M13" s="147">
        <v>500</v>
      </c>
      <c r="N13" s="189">
        <f>+M13*F13</f>
        <v>0</v>
      </c>
      <c r="O13" s="147">
        <f>+N13+L13+J13+H13</f>
        <v>0</v>
      </c>
      <c r="P13" s="155" t="s">
        <v>28</v>
      </c>
      <c r="Q13" s="146">
        <f>+B13+F13</f>
        <v>0</v>
      </c>
      <c r="R13" s="149">
        <f>+D13+O13</f>
        <v>0</v>
      </c>
      <c r="X13" s="150"/>
    </row>
    <row r="14" spans="1:18" ht="19.5">
      <c r="A14" s="11" t="s">
        <v>29</v>
      </c>
      <c r="B14" s="154"/>
      <c r="C14" s="188">
        <v>14000</v>
      </c>
      <c r="D14" s="147">
        <f>+B14*C14</f>
        <v>0</v>
      </c>
      <c r="E14" s="155" t="s">
        <v>29</v>
      </c>
      <c r="F14" s="146"/>
      <c r="G14" s="191"/>
      <c r="H14" s="191"/>
      <c r="I14" s="191"/>
      <c r="J14" s="191"/>
      <c r="K14" s="149">
        <v>13500</v>
      </c>
      <c r="L14" s="189">
        <f>+K14*F14</f>
        <v>0</v>
      </c>
      <c r="M14" s="149">
        <v>500</v>
      </c>
      <c r="N14" s="189">
        <f>+M14*F14</f>
        <v>0</v>
      </c>
      <c r="O14" s="147">
        <f>+N14+L14+J14+H14</f>
        <v>0</v>
      </c>
      <c r="P14" s="155" t="s">
        <v>29</v>
      </c>
      <c r="Q14" s="146">
        <f>+B14+F14</f>
        <v>0</v>
      </c>
      <c r="R14" s="149">
        <f>+D14+O14</f>
        <v>0</v>
      </c>
    </row>
    <row r="15" spans="1:18" ht="19.5">
      <c r="A15" s="11" t="s">
        <v>30</v>
      </c>
      <c r="B15" s="154"/>
      <c r="C15" s="188">
        <v>14000</v>
      </c>
      <c r="D15" s="147">
        <f>+B15*C15</f>
        <v>0</v>
      </c>
      <c r="E15" s="155" t="s">
        <v>30</v>
      </c>
      <c r="F15" s="146"/>
      <c r="G15" s="191"/>
      <c r="H15" s="191"/>
      <c r="I15" s="191"/>
      <c r="J15" s="191"/>
      <c r="K15" s="149">
        <v>13500</v>
      </c>
      <c r="L15" s="189">
        <f>+K15*F15</f>
        <v>0</v>
      </c>
      <c r="M15" s="149">
        <v>500</v>
      </c>
      <c r="N15" s="189">
        <f>+M15*F15</f>
        <v>0</v>
      </c>
      <c r="O15" s="147">
        <f>+N15+L15+J15+H15</f>
        <v>0</v>
      </c>
      <c r="P15" s="155" t="s">
        <v>30</v>
      </c>
      <c r="Q15" s="146">
        <f>+B15+F15</f>
        <v>0</v>
      </c>
      <c r="R15" s="149">
        <f>+D15+O15</f>
        <v>0</v>
      </c>
    </row>
    <row r="16" spans="1:18" ht="19.5">
      <c r="A16" s="14" t="s">
        <v>31</v>
      </c>
      <c r="B16" s="152">
        <f>SUM(B13:B15)</f>
        <v>0</v>
      </c>
      <c r="C16" s="152">
        <f>SUM(C13:C15)</f>
        <v>42000</v>
      </c>
      <c r="D16" s="152">
        <f>SUM(D13:D15)</f>
        <v>0</v>
      </c>
      <c r="E16" s="152" t="s">
        <v>31</v>
      </c>
      <c r="F16" s="152">
        <f>SUM(F13:F15)</f>
        <v>0</v>
      </c>
      <c r="G16" s="152">
        <f aca="true" t="shared" si="1" ref="G16:N16">SUM(G13:G15)</f>
        <v>17000</v>
      </c>
      <c r="H16" s="152">
        <f t="shared" si="1"/>
        <v>0</v>
      </c>
      <c r="I16" s="152">
        <f t="shared" si="1"/>
        <v>0</v>
      </c>
      <c r="J16" s="152">
        <f t="shared" si="1"/>
        <v>0</v>
      </c>
      <c r="K16" s="152">
        <f t="shared" si="1"/>
        <v>40500</v>
      </c>
      <c r="L16" s="152">
        <f>SUM(L13:L15)</f>
        <v>0</v>
      </c>
      <c r="M16" s="152">
        <f t="shared" si="1"/>
        <v>1500</v>
      </c>
      <c r="N16" s="152">
        <f t="shared" si="1"/>
        <v>0</v>
      </c>
      <c r="O16" s="152">
        <f>SUM(O13:O15)</f>
        <v>0</v>
      </c>
      <c r="P16" s="152" t="s">
        <v>31</v>
      </c>
      <c r="Q16" s="152">
        <f>SUM(Q13:Q15)</f>
        <v>0</v>
      </c>
      <c r="R16" s="152">
        <f>SUM(R13:R15)</f>
        <v>0</v>
      </c>
    </row>
    <row r="17" spans="1:24" ht="19.5">
      <c r="A17" s="19" t="s">
        <v>32</v>
      </c>
      <c r="B17" s="156">
        <f>+B16+B12</f>
        <v>0</v>
      </c>
      <c r="C17" s="156">
        <f>+C16+C12</f>
        <v>84000</v>
      </c>
      <c r="D17" s="156">
        <f>+D16+D12</f>
        <v>0</v>
      </c>
      <c r="E17" s="157" t="s">
        <v>32</v>
      </c>
      <c r="F17" s="156">
        <f>+F16+F12</f>
        <v>0</v>
      </c>
      <c r="G17" s="156">
        <f aca="true" t="shared" si="2" ref="G17:N17">+G16+G12</f>
        <v>34000</v>
      </c>
      <c r="H17" s="156">
        <f t="shared" si="2"/>
        <v>0</v>
      </c>
      <c r="I17" s="156">
        <f t="shared" si="2"/>
        <v>20000</v>
      </c>
      <c r="J17" s="156">
        <f t="shared" si="2"/>
        <v>0</v>
      </c>
      <c r="K17" s="156">
        <f t="shared" si="2"/>
        <v>81000</v>
      </c>
      <c r="L17" s="156">
        <f t="shared" si="2"/>
        <v>0</v>
      </c>
      <c r="M17" s="156">
        <f t="shared" si="2"/>
        <v>3000</v>
      </c>
      <c r="N17" s="156">
        <f t="shared" si="2"/>
        <v>0</v>
      </c>
      <c r="O17" s="156">
        <f>+O16+O12</f>
        <v>0</v>
      </c>
      <c r="P17" s="157" t="s">
        <v>32</v>
      </c>
      <c r="Q17" s="156">
        <f>+Q16+Q12</f>
        <v>0</v>
      </c>
      <c r="R17" s="156">
        <f>+R16+R12</f>
        <v>0</v>
      </c>
      <c r="X17" s="178"/>
    </row>
    <row r="18" spans="1:24" ht="19.5">
      <c r="A18" s="158"/>
      <c r="B18" s="159"/>
      <c r="C18" s="160"/>
      <c r="D18" s="160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61"/>
      <c r="R18" s="159"/>
      <c r="X18" s="150"/>
    </row>
    <row r="19" spans="1:24" s="1" customFormat="1" ht="21">
      <c r="A19" s="216" t="s">
        <v>33</v>
      </c>
      <c r="B19" s="216"/>
      <c r="C19" s="216"/>
      <c r="D19" s="35">
        <f>+D17</f>
        <v>0</v>
      </c>
      <c r="E19" s="217" t="s">
        <v>33</v>
      </c>
      <c r="F19" s="218"/>
      <c r="G19" s="218"/>
      <c r="H19" s="218"/>
      <c r="I19" s="218"/>
      <c r="J19" s="218"/>
      <c r="K19" s="218"/>
      <c r="L19" s="218"/>
      <c r="M19" s="218"/>
      <c r="N19" s="219"/>
      <c r="O19" s="35">
        <f>+O17</f>
        <v>0</v>
      </c>
      <c r="P19" s="220" t="s">
        <v>33</v>
      </c>
      <c r="Q19" s="221"/>
      <c r="R19" s="6">
        <f>+R17</f>
        <v>0</v>
      </c>
      <c r="X19" s="150"/>
    </row>
    <row r="20" spans="1:24" s="1" customFormat="1" ht="21">
      <c r="A20" s="224" t="s">
        <v>23</v>
      </c>
      <c r="B20" s="224"/>
      <c r="C20" s="224"/>
      <c r="D20" s="7">
        <f>D19*20%</f>
        <v>0</v>
      </c>
      <c r="E20" s="225" t="s">
        <v>23</v>
      </c>
      <c r="F20" s="226"/>
      <c r="G20" s="226"/>
      <c r="H20" s="226"/>
      <c r="I20" s="226"/>
      <c r="J20" s="226"/>
      <c r="K20" s="226"/>
      <c r="L20" s="226"/>
      <c r="M20" s="226"/>
      <c r="N20" s="227"/>
      <c r="O20" s="7">
        <f>O19*20%</f>
        <v>0</v>
      </c>
      <c r="P20" s="228" t="s">
        <v>23</v>
      </c>
      <c r="Q20" s="229"/>
      <c r="R20" s="7">
        <f>R19*20%</f>
        <v>0</v>
      </c>
      <c r="W20" s="162"/>
      <c r="X20" s="7"/>
    </row>
    <row r="21" spans="1:24" s="1" customFormat="1" ht="21">
      <c r="A21" s="224" t="s">
        <v>24</v>
      </c>
      <c r="B21" s="224"/>
      <c r="C21" s="224"/>
      <c r="D21" s="7">
        <f>D19*10%</f>
        <v>0</v>
      </c>
      <c r="E21" s="225" t="s">
        <v>24</v>
      </c>
      <c r="F21" s="226"/>
      <c r="G21" s="226"/>
      <c r="H21" s="226"/>
      <c r="I21" s="226"/>
      <c r="J21" s="226"/>
      <c r="K21" s="226"/>
      <c r="L21" s="226"/>
      <c r="M21" s="226"/>
      <c r="N21" s="227"/>
      <c r="O21" s="7">
        <f>O19*10%</f>
        <v>0</v>
      </c>
      <c r="P21" s="228" t="s">
        <v>24</v>
      </c>
      <c r="Q21" s="229"/>
      <c r="R21" s="7">
        <f>R19*10%</f>
        <v>0</v>
      </c>
      <c r="X21" s="7"/>
    </row>
    <row r="22" spans="1:24" s="1" customFormat="1" ht="21">
      <c r="A22" s="230" t="s">
        <v>15</v>
      </c>
      <c r="B22" s="230"/>
      <c r="C22" s="230"/>
      <c r="D22" s="7">
        <f>D19*70%</f>
        <v>0</v>
      </c>
      <c r="E22" s="231" t="s">
        <v>15</v>
      </c>
      <c r="F22" s="232"/>
      <c r="G22" s="232"/>
      <c r="H22" s="232"/>
      <c r="I22" s="232"/>
      <c r="J22" s="232"/>
      <c r="K22" s="232"/>
      <c r="L22" s="232"/>
      <c r="M22" s="232"/>
      <c r="N22" s="233"/>
      <c r="O22" s="7">
        <f>O19*70%</f>
        <v>0</v>
      </c>
      <c r="P22" s="228" t="s">
        <v>15</v>
      </c>
      <c r="Q22" s="229"/>
      <c r="R22" s="7">
        <f>R19*70%</f>
        <v>0</v>
      </c>
      <c r="X22" s="7"/>
    </row>
    <row r="23" spans="1:18" ht="19.5">
      <c r="A23" s="234" t="s">
        <v>205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</row>
    <row r="24" spans="2:17" ht="19.5">
      <c r="B24" s="15"/>
      <c r="F24" s="15"/>
      <c r="Q24" s="15"/>
    </row>
    <row r="25" spans="1:24" s="1" customFormat="1" ht="21">
      <c r="A25" s="216" t="s">
        <v>231</v>
      </c>
      <c r="B25" s="216"/>
      <c r="C25" s="216"/>
      <c r="D25" s="5">
        <f>+D17</f>
        <v>0</v>
      </c>
      <c r="E25" s="216" t="s">
        <v>231</v>
      </c>
      <c r="F25" s="216"/>
      <c r="G25" s="216"/>
      <c r="H25" s="216"/>
      <c r="I25" s="216"/>
      <c r="J25" s="216"/>
      <c r="K25" s="216"/>
      <c r="L25" s="216"/>
      <c r="M25" s="216"/>
      <c r="N25" s="216"/>
      <c r="O25" s="5">
        <f>+H17+J17</f>
        <v>0</v>
      </c>
      <c r="P25" s="235" t="s">
        <v>231</v>
      </c>
      <c r="Q25" s="235"/>
      <c r="R25" s="6">
        <f>+R23</f>
        <v>0</v>
      </c>
      <c r="X25" s="150"/>
    </row>
    <row r="26" spans="1:24" s="1" customFormat="1" ht="21">
      <c r="A26" s="224" t="s">
        <v>23</v>
      </c>
      <c r="B26" s="224"/>
      <c r="C26" s="224"/>
      <c r="D26" s="7">
        <f>D25*20%</f>
        <v>0</v>
      </c>
      <c r="E26" s="225" t="s">
        <v>23</v>
      </c>
      <c r="F26" s="226"/>
      <c r="G26" s="226"/>
      <c r="H26" s="226"/>
      <c r="I26" s="226"/>
      <c r="J26" s="226"/>
      <c r="K26" s="226"/>
      <c r="L26" s="226"/>
      <c r="M26" s="226"/>
      <c r="N26" s="227"/>
      <c r="O26" s="7">
        <f>O25*20%</f>
        <v>0</v>
      </c>
      <c r="P26" s="228" t="s">
        <v>23</v>
      </c>
      <c r="Q26" s="229"/>
      <c r="R26" s="7">
        <f>R25*20%</f>
        <v>0</v>
      </c>
      <c r="W26" s="162"/>
      <c r="X26" s="7"/>
    </row>
    <row r="27" spans="1:24" s="1" customFormat="1" ht="21">
      <c r="A27" s="224" t="s">
        <v>24</v>
      </c>
      <c r="B27" s="224"/>
      <c r="C27" s="224"/>
      <c r="D27" s="7">
        <f>D25*10%</f>
        <v>0</v>
      </c>
      <c r="E27" s="225" t="s">
        <v>24</v>
      </c>
      <c r="F27" s="226"/>
      <c r="G27" s="226"/>
      <c r="H27" s="226"/>
      <c r="I27" s="226"/>
      <c r="J27" s="226"/>
      <c r="K27" s="226"/>
      <c r="L27" s="226"/>
      <c r="M27" s="226"/>
      <c r="N27" s="227"/>
      <c r="O27" s="7">
        <f>O25*10%</f>
        <v>0</v>
      </c>
      <c r="P27" s="228" t="s">
        <v>24</v>
      </c>
      <c r="Q27" s="229"/>
      <c r="R27" s="7">
        <f>R25*10%</f>
        <v>0</v>
      </c>
      <c r="X27" s="7"/>
    </row>
    <row r="28" spans="1:24" s="1" customFormat="1" ht="21">
      <c r="A28" s="230" t="s">
        <v>15</v>
      </c>
      <c r="B28" s="230"/>
      <c r="C28" s="230"/>
      <c r="D28" s="7">
        <f>D25*70%</f>
        <v>0</v>
      </c>
      <c r="E28" s="231" t="s">
        <v>15</v>
      </c>
      <c r="F28" s="232"/>
      <c r="G28" s="232"/>
      <c r="H28" s="232"/>
      <c r="I28" s="232"/>
      <c r="J28" s="232"/>
      <c r="K28" s="232"/>
      <c r="L28" s="232"/>
      <c r="M28" s="232"/>
      <c r="N28" s="233"/>
      <c r="O28" s="7">
        <f>O25*70%</f>
        <v>0</v>
      </c>
      <c r="P28" s="228" t="s">
        <v>15</v>
      </c>
      <c r="Q28" s="229"/>
      <c r="R28" s="7">
        <f>R25*70%</f>
        <v>0</v>
      </c>
      <c r="X28" s="7"/>
    </row>
    <row r="30" spans="1:24" s="1" customFormat="1" ht="21">
      <c r="A30" s="216" t="s">
        <v>232</v>
      </c>
      <c r="B30" s="216"/>
      <c r="C30" s="216"/>
      <c r="D30" s="5">
        <v>0</v>
      </c>
      <c r="E30" s="216" t="s">
        <v>232</v>
      </c>
      <c r="F30" s="216"/>
      <c r="G30" s="216"/>
      <c r="H30" s="216"/>
      <c r="I30" s="216"/>
      <c r="J30" s="216"/>
      <c r="K30" s="216"/>
      <c r="L30" s="216"/>
      <c r="M30" s="216"/>
      <c r="N30" s="216"/>
      <c r="O30" s="5">
        <f>+N17</f>
        <v>0</v>
      </c>
      <c r="P30" s="235" t="s">
        <v>232</v>
      </c>
      <c r="Q30" s="235"/>
      <c r="R30" s="6">
        <f>+R28</f>
        <v>0</v>
      </c>
      <c r="X30" s="150"/>
    </row>
  </sheetData>
  <sheetProtection/>
  <mergeCells count="46">
    <mergeCell ref="A28:C28"/>
    <mergeCell ref="E28:N28"/>
    <mergeCell ref="P28:Q28"/>
    <mergeCell ref="A30:C30"/>
    <mergeCell ref="E30:N30"/>
    <mergeCell ref="P30:Q30"/>
    <mergeCell ref="A26:C26"/>
    <mergeCell ref="E26:N26"/>
    <mergeCell ref="P26:Q26"/>
    <mergeCell ref="A27:C27"/>
    <mergeCell ref="E27:N27"/>
    <mergeCell ref="P27:Q27"/>
    <mergeCell ref="A22:C22"/>
    <mergeCell ref="E22:N22"/>
    <mergeCell ref="P22:Q22"/>
    <mergeCell ref="A23:R23"/>
    <mergeCell ref="A25:C25"/>
    <mergeCell ref="E25:N25"/>
    <mergeCell ref="P25:Q25"/>
    <mergeCell ref="D7:D8"/>
    <mergeCell ref="A20:C20"/>
    <mergeCell ref="E20:N20"/>
    <mergeCell ref="P20:Q20"/>
    <mergeCell ref="A21:C21"/>
    <mergeCell ref="E21:N21"/>
    <mergeCell ref="P21:Q21"/>
    <mergeCell ref="E6:O6"/>
    <mergeCell ref="M7:N7"/>
    <mergeCell ref="P7:P8"/>
    <mergeCell ref="R7:R8"/>
    <mergeCell ref="A19:C19"/>
    <mergeCell ref="E19:N19"/>
    <mergeCell ref="P19:Q19"/>
    <mergeCell ref="O7:O8"/>
    <mergeCell ref="Q7:Q8"/>
    <mergeCell ref="A7:A8"/>
    <mergeCell ref="P6:R6"/>
    <mergeCell ref="E7:E8"/>
    <mergeCell ref="G7:H7"/>
    <mergeCell ref="I7:J7"/>
    <mergeCell ref="K7:L7"/>
    <mergeCell ref="A1:R1"/>
    <mergeCell ref="A2:R2"/>
    <mergeCell ref="A3:R3"/>
    <mergeCell ref="A4:R4"/>
    <mergeCell ref="A6:D6"/>
  </mergeCells>
  <printOptions horizontalCentered="1"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46"/>
  <sheetViews>
    <sheetView view="pageBreakPreview" zoomScaleSheetLayoutView="100" zoomScalePageLayoutView="0" workbookViewId="0" topLeftCell="A31">
      <selection activeCell="A48" sqref="A48"/>
    </sheetView>
  </sheetViews>
  <sheetFormatPr defaultColWidth="9.00390625" defaultRowHeight="15"/>
  <cols>
    <col min="1" max="1" width="43.140625" style="49" bestFit="1" customWidth="1"/>
    <col min="2" max="3" width="9.00390625" style="49" customWidth="1"/>
    <col min="4" max="4" width="10.7109375" style="49" bestFit="1" customWidth="1"/>
    <col min="5" max="7" width="9.00390625" style="49" customWidth="1"/>
    <col min="8" max="8" width="16.7109375" style="49" bestFit="1" customWidth="1"/>
    <col min="9" max="9" width="14.140625" style="49" bestFit="1" customWidth="1"/>
    <col min="10" max="16384" width="9.00390625" style="49" customWidth="1"/>
  </cols>
  <sheetData>
    <row r="1" spans="1:9" ht="25.5">
      <c r="A1" s="355" t="s">
        <v>135</v>
      </c>
      <c r="B1" s="355"/>
      <c r="C1" s="355"/>
      <c r="D1" s="355"/>
      <c r="E1" s="355"/>
      <c r="F1" s="355"/>
      <c r="G1" s="355"/>
      <c r="H1" s="355"/>
      <c r="I1" s="355"/>
    </row>
    <row r="2" spans="1:9" ht="25.5">
      <c r="A2" s="355" t="s">
        <v>249</v>
      </c>
      <c r="B2" s="355"/>
      <c r="C2" s="355"/>
      <c r="D2" s="355"/>
      <c r="E2" s="355"/>
      <c r="F2" s="355"/>
      <c r="G2" s="355"/>
      <c r="H2" s="355"/>
      <c r="I2" s="355"/>
    </row>
    <row r="3" spans="1:9" s="129" customFormat="1" ht="25.5">
      <c r="A3" s="356" t="s">
        <v>103</v>
      </c>
      <c r="B3" s="358" t="s">
        <v>142</v>
      </c>
      <c r="C3" s="358"/>
      <c r="D3" s="358" t="s">
        <v>143</v>
      </c>
      <c r="E3" s="358"/>
      <c r="F3" s="358" t="s">
        <v>144</v>
      </c>
      <c r="G3" s="358"/>
      <c r="H3" s="356" t="s">
        <v>145</v>
      </c>
      <c r="I3" s="356" t="s">
        <v>146</v>
      </c>
    </row>
    <row r="4" spans="1:9" ht="25.5">
      <c r="A4" s="357"/>
      <c r="B4" s="130" t="s">
        <v>147</v>
      </c>
      <c r="C4" s="130" t="s">
        <v>148</v>
      </c>
      <c r="D4" s="130" t="s">
        <v>149</v>
      </c>
      <c r="E4" s="130" t="s">
        <v>150</v>
      </c>
      <c r="F4" s="130" t="s">
        <v>151</v>
      </c>
      <c r="G4" s="130" t="s">
        <v>148</v>
      </c>
      <c r="H4" s="357"/>
      <c r="I4" s="357"/>
    </row>
    <row r="5" spans="1:9" ht="21">
      <c r="A5" s="131" t="s">
        <v>152</v>
      </c>
      <c r="B5" s="132"/>
      <c r="C5" s="132"/>
      <c r="D5" s="133"/>
      <c r="E5" s="132"/>
      <c r="F5" s="132"/>
      <c r="G5" s="132"/>
      <c r="H5" s="133"/>
      <c r="I5" s="132"/>
    </row>
    <row r="6" spans="1:9" ht="21">
      <c r="A6" s="134" t="s">
        <v>153</v>
      </c>
      <c r="B6" s="135"/>
      <c r="C6" s="135" t="s">
        <v>154</v>
      </c>
      <c r="D6" s="136"/>
      <c r="E6" s="135" t="s">
        <v>155</v>
      </c>
      <c r="F6" s="135">
        <v>12</v>
      </c>
      <c r="G6" s="135" t="s">
        <v>76</v>
      </c>
      <c r="H6" s="176">
        <f>D6*F6</f>
        <v>0</v>
      </c>
      <c r="I6" s="135"/>
    </row>
    <row r="7" spans="1:9" ht="21">
      <c r="A7" s="134" t="s">
        <v>156</v>
      </c>
      <c r="B7" s="135"/>
      <c r="C7" s="135" t="s">
        <v>154</v>
      </c>
      <c r="D7" s="136"/>
      <c r="E7" s="135" t="s">
        <v>155</v>
      </c>
      <c r="F7" s="135">
        <v>12</v>
      </c>
      <c r="G7" s="135" t="s">
        <v>76</v>
      </c>
      <c r="H7" s="136">
        <f>D7*F7</f>
        <v>0</v>
      </c>
      <c r="I7" s="135"/>
    </row>
    <row r="8" spans="1:9" ht="21">
      <c r="A8" s="134" t="s">
        <v>157</v>
      </c>
      <c r="B8" s="135"/>
      <c r="C8" s="135" t="s">
        <v>154</v>
      </c>
      <c r="D8" s="136"/>
      <c r="E8" s="135" t="s">
        <v>155</v>
      </c>
      <c r="F8" s="135">
        <v>12</v>
      </c>
      <c r="G8" s="135" t="s">
        <v>76</v>
      </c>
      <c r="H8" s="136">
        <f aca="true" t="shared" si="0" ref="H8:H39">D8*F8</f>
        <v>0</v>
      </c>
      <c r="I8" s="135"/>
    </row>
    <row r="9" spans="1:9" ht="21">
      <c r="A9" s="134" t="s">
        <v>158</v>
      </c>
      <c r="B9" s="135"/>
      <c r="C9" s="135" t="s">
        <v>154</v>
      </c>
      <c r="D9" s="136"/>
      <c r="E9" s="135" t="s">
        <v>155</v>
      </c>
      <c r="F9" s="135">
        <v>12</v>
      </c>
      <c r="G9" s="135" t="s">
        <v>76</v>
      </c>
      <c r="H9" s="136">
        <f t="shared" si="0"/>
        <v>0</v>
      </c>
      <c r="I9" s="135"/>
    </row>
    <row r="10" spans="1:9" ht="21">
      <c r="A10" s="137" t="s">
        <v>159</v>
      </c>
      <c r="B10" s="138"/>
      <c r="C10" s="138"/>
      <c r="D10" s="139"/>
      <c r="E10" s="138"/>
      <c r="F10" s="138"/>
      <c r="G10" s="138"/>
      <c r="H10" s="139"/>
      <c r="I10" s="138"/>
    </row>
    <row r="11" spans="1:9" ht="21">
      <c r="A11" s="134" t="s">
        <v>160</v>
      </c>
      <c r="B11" s="135"/>
      <c r="C11" s="135" t="s">
        <v>154</v>
      </c>
      <c r="D11" s="136"/>
      <c r="E11" s="135" t="s">
        <v>155</v>
      </c>
      <c r="F11" s="135">
        <v>12</v>
      </c>
      <c r="G11" s="135" t="s">
        <v>76</v>
      </c>
      <c r="H11" s="136">
        <f t="shared" si="0"/>
        <v>0</v>
      </c>
      <c r="I11" s="135"/>
    </row>
    <row r="12" spans="1:9" ht="21">
      <c r="A12" s="134" t="s">
        <v>161</v>
      </c>
      <c r="B12" s="135"/>
      <c r="C12" s="135" t="s">
        <v>154</v>
      </c>
      <c r="D12" s="136"/>
      <c r="E12" s="135" t="s">
        <v>155</v>
      </c>
      <c r="F12" s="135">
        <v>12</v>
      </c>
      <c r="G12" s="135" t="s">
        <v>76</v>
      </c>
      <c r="H12" s="136">
        <f t="shared" si="0"/>
        <v>0</v>
      </c>
      <c r="I12" s="135"/>
    </row>
    <row r="13" spans="1:9" ht="21">
      <c r="A13" s="134" t="s">
        <v>162</v>
      </c>
      <c r="B13" s="135"/>
      <c r="C13" s="135" t="s">
        <v>154</v>
      </c>
      <c r="D13" s="136"/>
      <c r="E13" s="135" t="s">
        <v>155</v>
      </c>
      <c r="F13" s="135">
        <v>12</v>
      </c>
      <c r="G13" s="135" t="s">
        <v>76</v>
      </c>
      <c r="H13" s="136">
        <f t="shared" si="0"/>
        <v>0</v>
      </c>
      <c r="I13" s="135"/>
    </row>
    <row r="14" spans="1:9" ht="21">
      <c r="A14" s="134" t="s">
        <v>163</v>
      </c>
      <c r="B14" s="135"/>
      <c r="C14" s="135" t="s">
        <v>154</v>
      </c>
      <c r="D14" s="136"/>
      <c r="E14" s="135" t="s">
        <v>155</v>
      </c>
      <c r="F14" s="135">
        <v>12</v>
      </c>
      <c r="G14" s="135" t="s">
        <v>76</v>
      </c>
      <c r="H14" s="136">
        <f t="shared" si="0"/>
        <v>0</v>
      </c>
      <c r="I14" s="135"/>
    </row>
    <row r="15" spans="1:9" ht="21">
      <c r="A15" s="140" t="s">
        <v>164</v>
      </c>
      <c r="B15" s="138"/>
      <c r="C15" s="138"/>
      <c r="D15" s="139"/>
      <c r="E15" s="138"/>
      <c r="F15" s="138"/>
      <c r="G15" s="138"/>
      <c r="H15" s="139"/>
      <c r="I15" s="138"/>
    </row>
    <row r="16" spans="1:9" ht="21">
      <c r="A16" s="134" t="s">
        <v>165</v>
      </c>
      <c r="B16" s="135"/>
      <c r="C16" s="135" t="s">
        <v>154</v>
      </c>
      <c r="D16" s="136"/>
      <c r="E16" s="135" t="s">
        <v>155</v>
      </c>
      <c r="F16" s="135">
        <v>12</v>
      </c>
      <c r="G16" s="135" t="s">
        <v>76</v>
      </c>
      <c r="H16" s="136">
        <f t="shared" si="0"/>
        <v>0</v>
      </c>
      <c r="I16" s="135"/>
    </row>
    <row r="17" spans="1:9" ht="21">
      <c r="A17" s="134" t="s">
        <v>166</v>
      </c>
      <c r="B17" s="135"/>
      <c r="C17" s="135" t="s">
        <v>154</v>
      </c>
      <c r="D17" s="136"/>
      <c r="E17" s="135" t="s">
        <v>155</v>
      </c>
      <c r="F17" s="135">
        <v>12</v>
      </c>
      <c r="G17" s="135" t="s">
        <v>76</v>
      </c>
      <c r="H17" s="136">
        <f t="shared" si="0"/>
        <v>0</v>
      </c>
      <c r="I17" s="135"/>
    </row>
    <row r="18" spans="1:9" ht="21">
      <c r="A18" s="140" t="s">
        <v>167</v>
      </c>
      <c r="B18" s="138"/>
      <c r="C18" s="138"/>
      <c r="D18" s="139"/>
      <c r="E18" s="138"/>
      <c r="F18" s="138"/>
      <c r="G18" s="138"/>
      <c r="H18" s="139"/>
      <c r="I18" s="138"/>
    </row>
    <row r="19" spans="1:9" ht="21">
      <c r="A19" s="134" t="s">
        <v>168</v>
      </c>
      <c r="B19" s="135"/>
      <c r="C19" s="135" t="s">
        <v>154</v>
      </c>
      <c r="D19" s="136"/>
      <c r="E19" s="135" t="s">
        <v>155</v>
      </c>
      <c r="F19" s="135">
        <v>12</v>
      </c>
      <c r="G19" s="135" t="s">
        <v>76</v>
      </c>
      <c r="H19" s="136">
        <f t="shared" si="0"/>
        <v>0</v>
      </c>
      <c r="I19" s="135"/>
    </row>
    <row r="20" spans="1:9" ht="21">
      <c r="A20" s="134" t="s">
        <v>169</v>
      </c>
      <c r="B20" s="135"/>
      <c r="C20" s="135" t="s">
        <v>154</v>
      </c>
      <c r="D20" s="136"/>
      <c r="E20" s="135" t="s">
        <v>155</v>
      </c>
      <c r="F20" s="135">
        <v>12</v>
      </c>
      <c r="G20" s="135" t="s">
        <v>76</v>
      </c>
      <c r="H20" s="136">
        <f t="shared" si="0"/>
        <v>0</v>
      </c>
      <c r="I20" s="135"/>
    </row>
    <row r="21" spans="1:9" ht="21">
      <c r="A21" s="134" t="s">
        <v>170</v>
      </c>
      <c r="B21" s="135"/>
      <c r="C21" s="135" t="s">
        <v>154</v>
      </c>
      <c r="D21" s="136"/>
      <c r="E21" s="135" t="s">
        <v>155</v>
      </c>
      <c r="F21" s="135">
        <v>12</v>
      </c>
      <c r="G21" s="135" t="s">
        <v>76</v>
      </c>
      <c r="H21" s="136">
        <f t="shared" si="0"/>
        <v>0</v>
      </c>
      <c r="I21" s="135"/>
    </row>
    <row r="22" spans="1:9" ht="21">
      <c r="A22" s="140" t="s">
        <v>171</v>
      </c>
      <c r="B22" s="135"/>
      <c r="C22" s="135"/>
      <c r="D22" s="136"/>
      <c r="E22" s="135"/>
      <c r="F22" s="135"/>
      <c r="G22" s="135"/>
      <c r="H22" s="136"/>
      <c r="I22" s="135"/>
    </row>
    <row r="23" spans="1:9" ht="21">
      <c r="A23" s="134" t="s">
        <v>172</v>
      </c>
      <c r="B23" s="135"/>
      <c r="C23" s="135" t="s">
        <v>154</v>
      </c>
      <c r="D23" s="136"/>
      <c r="E23" s="135" t="s">
        <v>155</v>
      </c>
      <c r="F23" s="135">
        <v>12</v>
      </c>
      <c r="G23" s="135" t="s">
        <v>76</v>
      </c>
      <c r="H23" s="136">
        <f t="shared" si="0"/>
        <v>0</v>
      </c>
      <c r="I23" s="135"/>
    </row>
    <row r="24" spans="1:9" ht="21">
      <c r="A24" s="134" t="s">
        <v>173</v>
      </c>
      <c r="B24" s="135"/>
      <c r="C24" s="135" t="s">
        <v>154</v>
      </c>
      <c r="D24" s="136"/>
      <c r="E24" s="135" t="s">
        <v>155</v>
      </c>
      <c r="F24" s="135">
        <v>12</v>
      </c>
      <c r="G24" s="135" t="s">
        <v>76</v>
      </c>
      <c r="H24" s="136">
        <f t="shared" si="0"/>
        <v>0</v>
      </c>
      <c r="I24" s="135"/>
    </row>
    <row r="25" spans="1:9" ht="21">
      <c r="A25" s="140" t="s">
        <v>192</v>
      </c>
      <c r="B25" s="135"/>
      <c r="C25" s="135"/>
      <c r="D25" s="136"/>
      <c r="E25" s="135"/>
      <c r="F25" s="135"/>
      <c r="G25" s="135"/>
      <c r="H25" s="136"/>
      <c r="I25" s="135"/>
    </row>
    <row r="26" spans="1:9" ht="21">
      <c r="A26" s="134" t="s">
        <v>184</v>
      </c>
      <c r="B26" s="135"/>
      <c r="C26" s="135"/>
      <c r="D26" s="136"/>
      <c r="E26" s="135"/>
      <c r="F26" s="135">
        <v>12</v>
      </c>
      <c r="G26" s="135" t="s">
        <v>76</v>
      </c>
      <c r="H26" s="136">
        <f aca="true" t="shared" si="1" ref="H26:H32">D26*F26</f>
        <v>0</v>
      </c>
      <c r="I26" s="135"/>
    </row>
    <row r="27" spans="1:9" ht="21">
      <c r="A27" s="134" t="s">
        <v>186</v>
      </c>
      <c r="B27" s="135"/>
      <c r="C27" s="135"/>
      <c r="D27" s="136"/>
      <c r="E27" s="135"/>
      <c r="F27" s="135">
        <v>12</v>
      </c>
      <c r="G27" s="135" t="s">
        <v>76</v>
      </c>
      <c r="H27" s="136">
        <f t="shared" si="1"/>
        <v>0</v>
      </c>
      <c r="I27" s="135"/>
    </row>
    <row r="28" spans="1:9" ht="21">
      <c r="A28" s="134" t="s">
        <v>188</v>
      </c>
      <c r="B28" s="135"/>
      <c r="C28" s="135"/>
      <c r="D28" s="136"/>
      <c r="E28" s="135"/>
      <c r="F28" s="135">
        <v>12</v>
      </c>
      <c r="G28" s="135" t="s">
        <v>76</v>
      </c>
      <c r="H28" s="136">
        <f t="shared" si="1"/>
        <v>0</v>
      </c>
      <c r="I28" s="135"/>
    </row>
    <row r="29" spans="1:9" ht="21">
      <c r="A29" s="134" t="s">
        <v>189</v>
      </c>
      <c r="B29" s="135"/>
      <c r="C29" s="135"/>
      <c r="D29" s="136"/>
      <c r="E29" s="135"/>
      <c r="F29" s="135">
        <v>12</v>
      </c>
      <c r="G29" s="135" t="s">
        <v>76</v>
      </c>
      <c r="H29" s="136">
        <f t="shared" si="1"/>
        <v>0</v>
      </c>
      <c r="I29" s="135"/>
    </row>
    <row r="30" spans="1:9" ht="21">
      <c r="A30" s="134" t="s">
        <v>190</v>
      </c>
      <c r="B30" s="135"/>
      <c r="C30" s="135"/>
      <c r="D30" s="136"/>
      <c r="E30" s="135"/>
      <c r="F30" s="135">
        <v>12</v>
      </c>
      <c r="G30" s="135" t="s">
        <v>76</v>
      </c>
      <c r="H30" s="136">
        <f t="shared" si="1"/>
        <v>0</v>
      </c>
      <c r="I30" s="135"/>
    </row>
    <row r="31" spans="1:9" ht="21">
      <c r="A31" s="134" t="s">
        <v>191</v>
      </c>
      <c r="B31" s="135"/>
      <c r="C31" s="135"/>
      <c r="D31" s="136"/>
      <c r="E31" s="135"/>
      <c r="F31" s="135">
        <v>12</v>
      </c>
      <c r="G31" s="135" t="s">
        <v>76</v>
      </c>
      <c r="H31" s="136">
        <f t="shared" si="1"/>
        <v>0</v>
      </c>
      <c r="I31" s="135"/>
    </row>
    <row r="32" spans="1:9" ht="21">
      <c r="A32" s="134" t="s">
        <v>193</v>
      </c>
      <c r="B32" s="135"/>
      <c r="C32" s="135"/>
      <c r="D32" s="136"/>
      <c r="E32" s="135"/>
      <c r="F32" s="135">
        <v>12</v>
      </c>
      <c r="G32" s="135" t="s">
        <v>76</v>
      </c>
      <c r="H32" s="136">
        <f t="shared" si="1"/>
        <v>0</v>
      </c>
      <c r="I32" s="135"/>
    </row>
    <row r="33" spans="1:9" ht="21">
      <c r="A33" s="140" t="s">
        <v>174</v>
      </c>
      <c r="B33" s="135"/>
      <c r="C33" s="135"/>
      <c r="D33" s="136"/>
      <c r="E33" s="135"/>
      <c r="F33" s="135"/>
      <c r="G33" s="135"/>
      <c r="H33" s="136"/>
      <c r="I33" s="135"/>
    </row>
    <row r="34" spans="1:9" ht="21">
      <c r="A34" s="134" t="s">
        <v>175</v>
      </c>
      <c r="B34" s="135"/>
      <c r="C34" s="135" t="s">
        <v>154</v>
      </c>
      <c r="D34" s="136"/>
      <c r="E34" s="135" t="s">
        <v>155</v>
      </c>
      <c r="F34" s="135">
        <v>12</v>
      </c>
      <c r="G34" s="135" t="s">
        <v>76</v>
      </c>
      <c r="H34" s="136">
        <f t="shared" si="0"/>
        <v>0</v>
      </c>
      <c r="I34" s="135"/>
    </row>
    <row r="35" spans="1:9" ht="21">
      <c r="A35" s="134" t="s">
        <v>176</v>
      </c>
      <c r="B35" s="135"/>
      <c r="C35" s="135" t="s">
        <v>154</v>
      </c>
      <c r="D35" s="136"/>
      <c r="E35" s="135" t="s">
        <v>155</v>
      </c>
      <c r="F35" s="135">
        <v>12</v>
      </c>
      <c r="G35" s="135" t="s">
        <v>76</v>
      </c>
      <c r="H35" s="136">
        <f t="shared" si="0"/>
        <v>0</v>
      </c>
      <c r="I35" s="135"/>
    </row>
    <row r="36" spans="1:9" ht="21">
      <c r="A36" s="134" t="s">
        <v>177</v>
      </c>
      <c r="B36" s="135"/>
      <c r="C36" s="135" t="s">
        <v>154</v>
      </c>
      <c r="D36" s="136"/>
      <c r="E36" s="135" t="s">
        <v>155</v>
      </c>
      <c r="F36" s="135">
        <v>12</v>
      </c>
      <c r="G36" s="135" t="s">
        <v>76</v>
      </c>
      <c r="H36" s="136">
        <f t="shared" si="0"/>
        <v>0</v>
      </c>
      <c r="I36" s="135"/>
    </row>
    <row r="37" spans="1:9" ht="21">
      <c r="A37" s="134" t="s">
        <v>178</v>
      </c>
      <c r="B37" s="135"/>
      <c r="C37" s="135" t="s">
        <v>154</v>
      </c>
      <c r="D37" s="136"/>
      <c r="E37" s="135" t="s">
        <v>155</v>
      </c>
      <c r="F37" s="135">
        <v>12</v>
      </c>
      <c r="G37" s="135" t="s">
        <v>76</v>
      </c>
      <c r="H37" s="136">
        <f t="shared" si="0"/>
        <v>0</v>
      </c>
      <c r="I37" s="141" t="s">
        <v>179</v>
      </c>
    </row>
    <row r="38" spans="1:9" ht="21">
      <c r="A38" s="134" t="s">
        <v>180</v>
      </c>
      <c r="B38" s="135"/>
      <c r="C38" s="135" t="s">
        <v>181</v>
      </c>
      <c r="D38" s="136"/>
      <c r="E38" s="135" t="s">
        <v>155</v>
      </c>
      <c r="F38" s="135">
        <v>12</v>
      </c>
      <c r="G38" s="135" t="s">
        <v>76</v>
      </c>
      <c r="H38" s="136">
        <f t="shared" si="0"/>
        <v>0</v>
      </c>
      <c r="I38" s="141" t="s">
        <v>179</v>
      </c>
    </row>
    <row r="39" spans="1:9" ht="21">
      <c r="A39" s="134" t="s">
        <v>182</v>
      </c>
      <c r="B39" s="135"/>
      <c r="C39" s="135" t="s">
        <v>183</v>
      </c>
      <c r="D39" s="136"/>
      <c r="E39" s="135" t="s">
        <v>155</v>
      </c>
      <c r="F39" s="135">
        <v>12</v>
      </c>
      <c r="G39" s="135" t="s">
        <v>76</v>
      </c>
      <c r="H39" s="136">
        <f t="shared" si="0"/>
        <v>0</v>
      </c>
      <c r="I39" s="135"/>
    </row>
    <row r="40" spans="1:9" ht="21">
      <c r="A40" s="140" t="s">
        <v>196</v>
      </c>
      <c r="B40" s="135"/>
      <c r="C40" s="135"/>
      <c r="D40" s="136"/>
      <c r="E40" s="135"/>
      <c r="F40" s="135"/>
      <c r="G40" s="135"/>
      <c r="H40" s="136"/>
      <c r="I40" s="135"/>
    </row>
    <row r="41" spans="1:9" ht="21">
      <c r="A41" s="134" t="s">
        <v>194</v>
      </c>
      <c r="B41" s="135"/>
      <c r="C41" s="135"/>
      <c r="D41" s="136"/>
      <c r="E41" s="135"/>
      <c r="F41" s="135">
        <v>12</v>
      </c>
      <c r="G41" s="135" t="s">
        <v>76</v>
      </c>
      <c r="H41" s="136">
        <f>D41*F41</f>
        <v>0</v>
      </c>
      <c r="I41" s="135"/>
    </row>
    <row r="42" spans="1:9" ht="21">
      <c r="A42" s="134" t="s">
        <v>197</v>
      </c>
      <c r="B42" s="135"/>
      <c r="C42" s="135"/>
      <c r="D42" s="136"/>
      <c r="E42" s="135"/>
      <c r="F42" s="135">
        <v>12</v>
      </c>
      <c r="G42" s="135" t="s">
        <v>76</v>
      </c>
      <c r="H42" s="136">
        <f>D42*F42</f>
        <v>0</v>
      </c>
      <c r="I42" s="135"/>
    </row>
    <row r="43" spans="1:9" ht="21">
      <c r="A43" s="134" t="s">
        <v>185</v>
      </c>
      <c r="B43" s="135"/>
      <c r="C43" s="135"/>
      <c r="D43" s="136"/>
      <c r="E43" s="135"/>
      <c r="F43" s="135">
        <v>12</v>
      </c>
      <c r="G43" s="135" t="s">
        <v>76</v>
      </c>
      <c r="H43" s="136">
        <f>D43*F43</f>
        <v>0</v>
      </c>
      <c r="I43" s="135"/>
    </row>
    <row r="44" spans="1:9" ht="21">
      <c r="A44" s="134" t="s">
        <v>187</v>
      </c>
      <c r="B44" s="135"/>
      <c r="C44" s="135"/>
      <c r="D44" s="136"/>
      <c r="E44" s="135"/>
      <c r="F44" s="135">
        <v>12</v>
      </c>
      <c r="G44" s="135" t="s">
        <v>76</v>
      </c>
      <c r="H44" s="136">
        <f>D44*F44</f>
        <v>0</v>
      </c>
      <c r="I44" s="135"/>
    </row>
    <row r="45" spans="1:9" ht="21">
      <c r="A45" s="134" t="s">
        <v>195</v>
      </c>
      <c r="B45" s="135"/>
      <c r="C45" s="135"/>
      <c r="D45" s="136"/>
      <c r="E45" s="135"/>
      <c r="F45" s="135">
        <v>12</v>
      </c>
      <c r="G45" s="135" t="s">
        <v>76</v>
      </c>
      <c r="H45" s="136">
        <f>D45*F45</f>
        <v>0</v>
      </c>
      <c r="I45" s="135"/>
    </row>
    <row r="46" spans="1:9" ht="21">
      <c r="A46" s="352" t="s">
        <v>12</v>
      </c>
      <c r="B46" s="353"/>
      <c r="C46" s="353"/>
      <c r="D46" s="353"/>
      <c r="E46" s="353"/>
      <c r="F46" s="353"/>
      <c r="G46" s="354"/>
      <c r="H46" s="143">
        <f>SUM(H6:H45)</f>
        <v>0</v>
      </c>
      <c r="I46" s="142"/>
    </row>
  </sheetData>
  <sheetProtection/>
  <mergeCells count="9">
    <mergeCell ref="A46:G46"/>
    <mergeCell ref="A1:I1"/>
    <mergeCell ref="A2:I2"/>
    <mergeCell ref="A3:A4"/>
    <mergeCell ref="B3:C3"/>
    <mergeCell ref="D3:E3"/>
    <mergeCell ref="F3:G3"/>
    <mergeCell ref="H3:H4"/>
    <mergeCell ref="I3:I4"/>
  </mergeCells>
  <printOptions horizontalCentered="1"/>
  <pageMargins left="0.25" right="0.25" top="0.5" bottom="0.25" header="0.31496062992126" footer="0.31496062992126"/>
  <pageSetup fitToHeight="1" fitToWidth="1" horizontalDpi="300" verticalDpi="300" orientation="portrait" scale="7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1"/>
  <sheetViews>
    <sheetView view="pageBreakPreview" zoomScale="70" zoomScaleSheetLayoutView="70" zoomScalePageLayoutView="0" workbookViewId="0" topLeftCell="A1">
      <selection activeCell="H8" sqref="H8:H9"/>
    </sheetView>
  </sheetViews>
  <sheetFormatPr defaultColWidth="7.7109375" defaultRowHeight="15"/>
  <cols>
    <col min="1" max="1" width="12.7109375" style="1" bestFit="1" customWidth="1"/>
    <col min="2" max="2" width="6.00390625" style="171" bestFit="1" customWidth="1"/>
    <col min="3" max="3" width="7.57421875" style="171" bestFit="1" customWidth="1"/>
    <col min="4" max="4" width="11.140625" style="1" bestFit="1" customWidth="1"/>
    <col min="5" max="5" width="9.140625" style="171" customWidth="1"/>
    <col min="6" max="6" width="11.140625" style="1" bestFit="1" customWidth="1"/>
    <col min="7" max="7" width="10.140625" style="1" bestFit="1" customWidth="1"/>
    <col min="8" max="8" width="12.7109375" style="1" customWidth="1"/>
    <col min="9" max="9" width="6.00390625" style="171" bestFit="1" customWidth="1"/>
    <col min="10" max="10" width="8.57421875" style="171" bestFit="1" customWidth="1"/>
    <col min="11" max="11" width="11.140625" style="1" bestFit="1" customWidth="1"/>
    <col min="12" max="12" width="7.57421875" style="171" bestFit="1" customWidth="1"/>
    <col min="13" max="13" width="11.140625" style="1" bestFit="1" customWidth="1"/>
    <col min="14" max="14" width="6.57421875" style="171" bestFit="1" customWidth="1"/>
    <col min="15" max="15" width="11.140625" style="1" bestFit="1" customWidth="1"/>
    <col min="16" max="16" width="7.57421875" style="171" bestFit="1" customWidth="1"/>
    <col min="17" max="17" width="11.140625" style="1" bestFit="1" customWidth="1"/>
    <col min="18" max="18" width="10.140625" style="1" bestFit="1" customWidth="1"/>
    <col min="19" max="19" width="12.7109375" style="1" customWidth="1"/>
    <col min="20" max="20" width="9.140625" style="171" bestFit="1" customWidth="1"/>
    <col min="21" max="21" width="12.140625" style="1" customWidth="1"/>
    <col min="22" max="16384" width="7.7109375" style="1" customWidth="1"/>
  </cols>
  <sheetData>
    <row r="1" ht="11.25" customHeight="1"/>
    <row r="2" spans="1:21" ht="22.5" customHeight="1">
      <c r="A2" s="210" t="s">
        <v>242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1:21" ht="20.25" customHeight="1">
      <c r="A3" s="210" t="s">
        <v>43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</row>
    <row r="4" spans="1:21" ht="20.25" customHeight="1">
      <c r="A4" s="210" t="s">
        <v>42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</row>
    <row r="5" spans="1:21" ht="21">
      <c r="A5" s="211" t="s">
        <v>233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</row>
    <row r="6" ht="21">
      <c r="U6" s="177" t="s">
        <v>213</v>
      </c>
    </row>
    <row r="7" spans="1:21" ht="20.25" customHeight="1">
      <c r="A7" s="236" t="s">
        <v>245</v>
      </c>
      <c r="B7" s="236"/>
      <c r="C7" s="236"/>
      <c r="D7" s="236"/>
      <c r="E7" s="236"/>
      <c r="F7" s="236"/>
      <c r="G7" s="236"/>
      <c r="H7" s="236" t="s">
        <v>250</v>
      </c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7" t="s">
        <v>0</v>
      </c>
      <c r="T7" s="238"/>
      <c r="U7" s="238"/>
    </row>
    <row r="8" spans="1:21" ht="20.25" customHeight="1">
      <c r="A8" s="239" t="s">
        <v>1</v>
      </c>
      <c r="B8" s="168" t="s">
        <v>105</v>
      </c>
      <c r="C8" s="241" t="s">
        <v>234</v>
      </c>
      <c r="D8" s="242"/>
      <c r="E8" s="241" t="s">
        <v>235</v>
      </c>
      <c r="F8" s="242"/>
      <c r="G8" s="243" t="s">
        <v>3</v>
      </c>
      <c r="H8" s="239" t="s">
        <v>1</v>
      </c>
      <c r="I8" s="168" t="s">
        <v>105</v>
      </c>
      <c r="J8" s="241" t="s">
        <v>234</v>
      </c>
      <c r="K8" s="242"/>
      <c r="L8" s="241" t="s">
        <v>235</v>
      </c>
      <c r="M8" s="242"/>
      <c r="N8" s="241" t="s">
        <v>236</v>
      </c>
      <c r="O8" s="242"/>
      <c r="P8" s="241" t="s">
        <v>237</v>
      </c>
      <c r="Q8" s="242"/>
      <c r="R8" s="243" t="s">
        <v>3</v>
      </c>
      <c r="S8" s="239" t="s">
        <v>1</v>
      </c>
      <c r="T8" s="246" t="s">
        <v>2</v>
      </c>
      <c r="U8" s="243" t="s">
        <v>3</v>
      </c>
    </row>
    <row r="9" spans="1:21" ht="20.25" customHeight="1">
      <c r="A9" s="240"/>
      <c r="B9" s="168" t="s">
        <v>123</v>
      </c>
      <c r="C9" s="168" t="s">
        <v>151</v>
      </c>
      <c r="D9" s="2" t="s">
        <v>105</v>
      </c>
      <c r="E9" s="168" t="s">
        <v>151</v>
      </c>
      <c r="F9" s="2" t="s">
        <v>105</v>
      </c>
      <c r="G9" s="244"/>
      <c r="H9" s="240"/>
      <c r="I9" s="168" t="s">
        <v>123</v>
      </c>
      <c r="J9" s="168" t="s">
        <v>151</v>
      </c>
      <c r="K9" s="2" t="s">
        <v>105</v>
      </c>
      <c r="L9" s="168" t="s">
        <v>151</v>
      </c>
      <c r="M9" s="2" t="s">
        <v>105</v>
      </c>
      <c r="N9" s="168" t="s">
        <v>151</v>
      </c>
      <c r="O9" s="2" t="s">
        <v>105</v>
      </c>
      <c r="P9" s="168" t="s">
        <v>151</v>
      </c>
      <c r="Q9" s="2" t="s">
        <v>105</v>
      </c>
      <c r="R9" s="244"/>
      <c r="S9" s="240"/>
      <c r="T9" s="247"/>
      <c r="U9" s="244"/>
    </row>
    <row r="10" spans="1:21" ht="20.25" customHeight="1">
      <c r="A10" s="175" t="s">
        <v>4</v>
      </c>
      <c r="B10" s="17"/>
      <c r="C10" s="192">
        <v>11000</v>
      </c>
      <c r="D10" s="193">
        <f>+C10*B10</f>
        <v>0</v>
      </c>
      <c r="E10" s="192">
        <v>5500</v>
      </c>
      <c r="F10" s="193">
        <f>+E10*B10</f>
        <v>0</v>
      </c>
      <c r="G10" s="18">
        <f>+D10+F10</f>
        <v>0</v>
      </c>
      <c r="H10" s="175" t="s">
        <v>4</v>
      </c>
      <c r="I10" s="17"/>
      <c r="J10" s="192">
        <v>22700</v>
      </c>
      <c r="K10" s="193">
        <f>+J10*I10</f>
        <v>0</v>
      </c>
      <c r="L10" s="192">
        <v>5500</v>
      </c>
      <c r="M10" s="193">
        <f>+L10*I10</f>
        <v>0</v>
      </c>
      <c r="N10" s="192">
        <v>300</v>
      </c>
      <c r="O10" s="193">
        <f>+N10*I10</f>
        <v>0</v>
      </c>
      <c r="P10" s="194"/>
      <c r="Q10" s="195"/>
      <c r="R10" s="18">
        <f>+K10+M10+O10+Q10</f>
        <v>0</v>
      </c>
      <c r="S10" s="175" t="s">
        <v>4</v>
      </c>
      <c r="T10" s="17">
        <f aca="true" t="shared" si="0" ref="T10:T17">B10+I10</f>
        <v>0</v>
      </c>
      <c r="U10" s="18">
        <f aca="true" t="shared" si="1" ref="U10:U17">G10+R10</f>
        <v>0</v>
      </c>
    </row>
    <row r="11" spans="1:21" ht="20.25" customHeight="1">
      <c r="A11" s="175" t="s">
        <v>5</v>
      </c>
      <c r="B11" s="17"/>
      <c r="C11" s="192">
        <v>11000</v>
      </c>
      <c r="D11" s="193">
        <f aca="true" t="shared" si="2" ref="D11:D17">+C11*B11</f>
        <v>0</v>
      </c>
      <c r="E11" s="192">
        <v>5500</v>
      </c>
      <c r="F11" s="193">
        <f aca="true" t="shared" si="3" ref="F11:F17">+E11*B11</f>
        <v>0</v>
      </c>
      <c r="G11" s="18">
        <f aca="true" t="shared" si="4" ref="G11:G17">+D11+F11</f>
        <v>0</v>
      </c>
      <c r="H11" s="175" t="s">
        <v>5</v>
      </c>
      <c r="I11" s="17"/>
      <c r="J11" s="192">
        <v>22700</v>
      </c>
      <c r="K11" s="193">
        <f aca="true" t="shared" si="5" ref="K11:K17">+J11*I11</f>
        <v>0</v>
      </c>
      <c r="L11" s="192">
        <v>5500</v>
      </c>
      <c r="M11" s="193">
        <f aca="true" t="shared" si="6" ref="M11:M17">+L11*I11</f>
        <v>0</v>
      </c>
      <c r="N11" s="192">
        <v>300</v>
      </c>
      <c r="O11" s="193">
        <f aca="true" t="shared" si="7" ref="O11:O17">+N11*I11</f>
        <v>0</v>
      </c>
      <c r="P11" s="194"/>
      <c r="Q11" s="195"/>
      <c r="R11" s="18">
        <f aca="true" t="shared" si="8" ref="R11:R17">+K11+M11+O11+Q11</f>
        <v>0</v>
      </c>
      <c r="S11" s="175" t="s">
        <v>5</v>
      </c>
      <c r="T11" s="17">
        <f t="shared" si="0"/>
        <v>0</v>
      </c>
      <c r="U11" s="18">
        <f t="shared" si="1"/>
        <v>0</v>
      </c>
    </row>
    <row r="12" spans="1:21" ht="20.25" customHeight="1">
      <c r="A12" s="21" t="s">
        <v>6</v>
      </c>
      <c r="B12" s="17"/>
      <c r="C12" s="192">
        <v>11000</v>
      </c>
      <c r="D12" s="193">
        <f t="shared" si="2"/>
        <v>0</v>
      </c>
      <c r="E12" s="192">
        <v>5500</v>
      </c>
      <c r="F12" s="193">
        <f t="shared" si="3"/>
        <v>0</v>
      </c>
      <c r="G12" s="18">
        <f t="shared" si="4"/>
        <v>0</v>
      </c>
      <c r="H12" s="21" t="s">
        <v>6</v>
      </c>
      <c r="I12" s="17"/>
      <c r="J12" s="192">
        <v>22200</v>
      </c>
      <c r="K12" s="193">
        <f t="shared" si="5"/>
        <v>0</v>
      </c>
      <c r="L12" s="192">
        <v>5500</v>
      </c>
      <c r="M12" s="193">
        <f t="shared" si="6"/>
        <v>0</v>
      </c>
      <c r="N12" s="192">
        <v>300</v>
      </c>
      <c r="O12" s="193">
        <f t="shared" si="7"/>
        <v>0</v>
      </c>
      <c r="P12" s="192">
        <v>4500</v>
      </c>
      <c r="Q12" s="193">
        <f aca="true" t="shared" si="9" ref="Q12:Q17">+P12*I12</f>
        <v>0</v>
      </c>
      <c r="R12" s="18">
        <f t="shared" si="8"/>
        <v>0</v>
      </c>
      <c r="S12" s="21" t="s">
        <v>6</v>
      </c>
      <c r="T12" s="17">
        <f t="shared" si="0"/>
        <v>0</v>
      </c>
      <c r="U12" s="18">
        <f t="shared" si="1"/>
        <v>0</v>
      </c>
    </row>
    <row r="13" spans="1:21" ht="20.25" customHeight="1">
      <c r="A13" s="21" t="s">
        <v>7</v>
      </c>
      <c r="B13" s="17"/>
      <c r="C13" s="192">
        <v>11000</v>
      </c>
      <c r="D13" s="193">
        <f t="shared" si="2"/>
        <v>0</v>
      </c>
      <c r="E13" s="192">
        <v>5500</v>
      </c>
      <c r="F13" s="193">
        <f t="shared" si="3"/>
        <v>0</v>
      </c>
      <c r="G13" s="18">
        <f t="shared" si="4"/>
        <v>0</v>
      </c>
      <c r="H13" s="21" t="s">
        <v>7</v>
      </c>
      <c r="I13" s="17"/>
      <c r="J13" s="192">
        <v>22200</v>
      </c>
      <c r="K13" s="193">
        <f t="shared" si="5"/>
        <v>0</v>
      </c>
      <c r="L13" s="192">
        <v>5500</v>
      </c>
      <c r="M13" s="193">
        <f t="shared" si="6"/>
        <v>0</v>
      </c>
      <c r="N13" s="192">
        <v>300</v>
      </c>
      <c r="O13" s="193">
        <f t="shared" si="7"/>
        <v>0</v>
      </c>
      <c r="P13" s="192">
        <v>4500</v>
      </c>
      <c r="Q13" s="193">
        <f t="shared" si="9"/>
        <v>0</v>
      </c>
      <c r="R13" s="18">
        <f t="shared" si="8"/>
        <v>0</v>
      </c>
      <c r="S13" s="21" t="s">
        <v>7</v>
      </c>
      <c r="T13" s="17">
        <f t="shared" si="0"/>
        <v>0</v>
      </c>
      <c r="U13" s="18">
        <f t="shared" si="1"/>
        <v>0</v>
      </c>
    </row>
    <row r="14" spans="1:21" ht="20.25" customHeight="1">
      <c r="A14" s="21" t="s">
        <v>8</v>
      </c>
      <c r="B14" s="17"/>
      <c r="C14" s="192">
        <v>11000</v>
      </c>
      <c r="D14" s="193">
        <f t="shared" si="2"/>
        <v>0</v>
      </c>
      <c r="E14" s="192">
        <v>5500</v>
      </c>
      <c r="F14" s="193">
        <f t="shared" si="3"/>
        <v>0</v>
      </c>
      <c r="G14" s="18">
        <f t="shared" si="4"/>
        <v>0</v>
      </c>
      <c r="H14" s="21" t="s">
        <v>8</v>
      </c>
      <c r="I14" s="17"/>
      <c r="J14" s="192">
        <v>22200</v>
      </c>
      <c r="K14" s="193">
        <f t="shared" si="5"/>
        <v>0</v>
      </c>
      <c r="L14" s="192">
        <v>5500</v>
      </c>
      <c r="M14" s="193">
        <f t="shared" si="6"/>
        <v>0</v>
      </c>
      <c r="N14" s="192">
        <v>300</v>
      </c>
      <c r="O14" s="193">
        <f t="shared" si="7"/>
        <v>0</v>
      </c>
      <c r="P14" s="192">
        <v>5000</v>
      </c>
      <c r="Q14" s="193">
        <f t="shared" si="9"/>
        <v>0</v>
      </c>
      <c r="R14" s="18">
        <f t="shared" si="8"/>
        <v>0</v>
      </c>
      <c r="S14" s="21" t="s">
        <v>8</v>
      </c>
      <c r="T14" s="17">
        <f t="shared" si="0"/>
        <v>0</v>
      </c>
      <c r="U14" s="18">
        <f t="shared" si="1"/>
        <v>0</v>
      </c>
    </row>
    <row r="15" spans="1:21" ht="20.25" customHeight="1">
      <c r="A15" s="21" t="s">
        <v>9</v>
      </c>
      <c r="B15" s="17"/>
      <c r="C15" s="192">
        <v>11000</v>
      </c>
      <c r="D15" s="193">
        <f t="shared" si="2"/>
        <v>0</v>
      </c>
      <c r="E15" s="192">
        <v>5500</v>
      </c>
      <c r="F15" s="193">
        <f t="shared" si="3"/>
        <v>0</v>
      </c>
      <c r="G15" s="18">
        <f t="shared" si="4"/>
        <v>0</v>
      </c>
      <c r="H15" s="21" t="s">
        <v>9</v>
      </c>
      <c r="I15" s="17"/>
      <c r="J15" s="192">
        <v>22200</v>
      </c>
      <c r="K15" s="193">
        <f t="shared" si="5"/>
        <v>0</v>
      </c>
      <c r="L15" s="192">
        <v>5500</v>
      </c>
      <c r="M15" s="193">
        <f t="shared" si="6"/>
        <v>0</v>
      </c>
      <c r="N15" s="192">
        <v>300</v>
      </c>
      <c r="O15" s="193">
        <f t="shared" si="7"/>
        <v>0</v>
      </c>
      <c r="P15" s="192">
        <v>5000</v>
      </c>
      <c r="Q15" s="193">
        <f t="shared" si="9"/>
        <v>0</v>
      </c>
      <c r="R15" s="18">
        <f t="shared" si="8"/>
        <v>0</v>
      </c>
      <c r="S15" s="21" t="s">
        <v>9</v>
      </c>
      <c r="T15" s="17">
        <f t="shared" si="0"/>
        <v>0</v>
      </c>
      <c r="U15" s="18">
        <f t="shared" si="1"/>
        <v>0</v>
      </c>
    </row>
    <row r="16" spans="1:21" ht="20.25" customHeight="1">
      <c r="A16" s="21" t="s">
        <v>10</v>
      </c>
      <c r="B16" s="17"/>
      <c r="C16" s="192">
        <v>11000</v>
      </c>
      <c r="D16" s="193">
        <f t="shared" si="2"/>
        <v>0</v>
      </c>
      <c r="E16" s="192">
        <v>5500</v>
      </c>
      <c r="F16" s="193">
        <f t="shared" si="3"/>
        <v>0</v>
      </c>
      <c r="G16" s="18">
        <f t="shared" si="4"/>
        <v>0</v>
      </c>
      <c r="H16" s="21" t="s">
        <v>10</v>
      </c>
      <c r="I16" s="17"/>
      <c r="J16" s="192">
        <v>22200</v>
      </c>
      <c r="K16" s="193">
        <f t="shared" si="5"/>
        <v>0</v>
      </c>
      <c r="L16" s="192">
        <v>5500</v>
      </c>
      <c r="M16" s="193">
        <f t="shared" si="6"/>
        <v>0</v>
      </c>
      <c r="N16" s="192">
        <v>300</v>
      </c>
      <c r="O16" s="193">
        <f t="shared" si="7"/>
        <v>0</v>
      </c>
      <c r="P16" s="192">
        <v>5000</v>
      </c>
      <c r="Q16" s="193">
        <f t="shared" si="9"/>
        <v>0</v>
      </c>
      <c r="R16" s="18">
        <f t="shared" si="8"/>
        <v>0</v>
      </c>
      <c r="S16" s="21" t="s">
        <v>10</v>
      </c>
      <c r="T16" s="17">
        <f t="shared" si="0"/>
        <v>0</v>
      </c>
      <c r="U16" s="18">
        <f t="shared" si="1"/>
        <v>0</v>
      </c>
    </row>
    <row r="17" spans="1:21" ht="20.25" customHeight="1">
      <c r="A17" s="21" t="s">
        <v>11</v>
      </c>
      <c r="B17" s="17"/>
      <c r="C17" s="192">
        <v>11000</v>
      </c>
      <c r="D17" s="193">
        <f t="shared" si="2"/>
        <v>0</v>
      </c>
      <c r="E17" s="192">
        <v>5500</v>
      </c>
      <c r="F17" s="193">
        <f t="shared" si="3"/>
        <v>0</v>
      </c>
      <c r="G17" s="18">
        <f t="shared" si="4"/>
        <v>0</v>
      </c>
      <c r="H17" s="21" t="s">
        <v>11</v>
      </c>
      <c r="I17" s="17"/>
      <c r="J17" s="192">
        <v>22200</v>
      </c>
      <c r="K17" s="193">
        <f t="shared" si="5"/>
        <v>0</v>
      </c>
      <c r="L17" s="192">
        <v>5500</v>
      </c>
      <c r="M17" s="193">
        <f t="shared" si="6"/>
        <v>0</v>
      </c>
      <c r="N17" s="192">
        <v>300</v>
      </c>
      <c r="O17" s="193">
        <f t="shared" si="7"/>
        <v>0</v>
      </c>
      <c r="P17" s="192">
        <v>5000</v>
      </c>
      <c r="Q17" s="193">
        <f t="shared" si="9"/>
        <v>0</v>
      </c>
      <c r="R17" s="18">
        <f t="shared" si="8"/>
        <v>0</v>
      </c>
      <c r="S17" s="21" t="s">
        <v>11</v>
      </c>
      <c r="T17" s="17">
        <f t="shared" si="0"/>
        <v>0</v>
      </c>
      <c r="U17" s="18">
        <f t="shared" si="1"/>
        <v>0</v>
      </c>
    </row>
    <row r="18" spans="1:21" ht="20.25" customHeight="1">
      <c r="A18" s="196" t="s">
        <v>12</v>
      </c>
      <c r="B18" s="197">
        <f aca="true" t="shared" si="10" ref="B18:G18">SUM(B10:B17)</f>
        <v>0</v>
      </c>
      <c r="C18" s="197">
        <f t="shared" si="10"/>
        <v>88000</v>
      </c>
      <c r="D18" s="197">
        <f t="shared" si="10"/>
        <v>0</v>
      </c>
      <c r="E18" s="197">
        <f t="shared" si="10"/>
        <v>44000</v>
      </c>
      <c r="F18" s="197">
        <f t="shared" si="10"/>
        <v>0</v>
      </c>
      <c r="G18" s="197">
        <f t="shared" si="10"/>
        <v>0</v>
      </c>
      <c r="H18" s="196" t="s">
        <v>12</v>
      </c>
      <c r="I18" s="186">
        <f>SUM(I10:I17)</f>
        <v>0</v>
      </c>
      <c r="J18" s="186">
        <f aca="true" t="shared" si="11" ref="J18:R18">SUM(J10:J17)</f>
        <v>178600</v>
      </c>
      <c r="K18" s="186">
        <f t="shared" si="11"/>
        <v>0</v>
      </c>
      <c r="L18" s="186">
        <f t="shared" si="11"/>
        <v>44000</v>
      </c>
      <c r="M18" s="186">
        <f t="shared" si="11"/>
        <v>0</v>
      </c>
      <c r="N18" s="186">
        <f t="shared" si="11"/>
        <v>2400</v>
      </c>
      <c r="O18" s="186">
        <f t="shared" si="11"/>
        <v>0</v>
      </c>
      <c r="P18" s="186">
        <f t="shared" si="11"/>
        <v>29000</v>
      </c>
      <c r="Q18" s="186">
        <f t="shared" si="11"/>
        <v>0</v>
      </c>
      <c r="R18" s="186">
        <f t="shared" si="11"/>
        <v>0</v>
      </c>
      <c r="S18" s="196" t="s">
        <v>12</v>
      </c>
      <c r="T18" s="198">
        <f>SUM(T10:T17)</f>
        <v>0</v>
      </c>
      <c r="U18" s="199">
        <f>SUM(U10:U17)</f>
        <v>0</v>
      </c>
    </row>
    <row r="19" spans="1:21" ht="20.25" customHeight="1">
      <c r="A19" s="169"/>
      <c r="B19" s="200"/>
      <c r="C19" s="200"/>
      <c r="D19" s="200"/>
      <c r="E19" s="200"/>
      <c r="F19" s="200"/>
      <c r="G19" s="200"/>
      <c r="H19" s="169"/>
      <c r="I19" s="169"/>
      <c r="J19" s="169"/>
      <c r="K19" s="201"/>
      <c r="L19" s="169"/>
      <c r="M19" s="201"/>
      <c r="N19" s="169"/>
      <c r="O19" s="201"/>
      <c r="P19" s="169"/>
      <c r="Q19" s="201"/>
      <c r="R19" s="201"/>
      <c r="S19" s="169"/>
      <c r="U19" s="202"/>
    </row>
    <row r="20" spans="1:21" ht="20.25" customHeight="1">
      <c r="A20" s="216" t="s">
        <v>33</v>
      </c>
      <c r="B20" s="216"/>
      <c r="C20" s="216"/>
      <c r="D20" s="216"/>
      <c r="E20" s="172"/>
      <c r="F20" s="172"/>
      <c r="G20" s="5">
        <f>+G18</f>
        <v>0</v>
      </c>
      <c r="H20" s="216" t="s">
        <v>33</v>
      </c>
      <c r="I20" s="216"/>
      <c r="J20" s="216"/>
      <c r="K20" s="216"/>
      <c r="L20" s="172"/>
      <c r="M20" s="172"/>
      <c r="N20" s="172"/>
      <c r="O20" s="172"/>
      <c r="P20" s="172"/>
      <c r="Q20" s="172"/>
      <c r="R20" s="5">
        <f>+R18</f>
        <v>0</v>
      </c>
      <c r="S20" s="216" t="s">
        <v>33</v>
      </c>
      <c r="T20" s="216"/>
      <c r="U20" s="6">
        <f>+U18</f>
        <v>0</v>
      </c>
    </row>
    <row r="21" spans="1:21" ht="20.25" customHeight="1">
      <c r="A21" s="224" t="s">
        <v>23</v>
      </c>
      <c r="B21" s="224"/>
      <c r="C21" s="224"/>
      <c r="D21" s="224"/>
      <c r="E21" s="173"/>
      <c r="F21" s="173"/>
      <c r="G21" s="7">
        <f>G20*20%</f>
        <v>0</v>
      </c>
      <c r="H21" s="224" t="s">
        <v>23</v>
      </c>
      <c r="I21" s="224"/>
      <c r="J21" s="224"/>
      <c r="K21" s="224"/>
      <c r="L21" s="173"/>
      <c r="M21" s="173"/>
      <c r="N21" s="173"/>
      <c r="O21" s="173"/>
      <c r="P21" s="173"/>
      <c r="Q21" s="173"/>
      <c r="R21" s="7">
        <f>R20*20%</f>
        <v>0</v>
      </c>
      <c r="S21" s="224" t="s">
        <v>23</v>
      </c>
      <c r="T21" s="224"/>
      <c r="U21" s="7">
        <f>U20*20%</f>
        <v>0</v>
      </c>
    </row>
    <row r="22" spans="1:21" ht="20.25" customHeight="1">
      <c r="A22" s="224" t="s">
        <v>24</v>
      </c>
      <c r="B22" s="224"/>
      <c r="C22" s="224"/>
      <c r="D22" s="224"/>
      <c r="E22" s="173"/>
      <c r="F22" s="173"/>
      <c r="G22" s="7">
        <f>G20*10%</f>
        <v>0</v>
      </c>
      <c r="H22" s="224" t="s">
        <v>24</v>
      </c>
      <c r="I22" s="224"/>
      <c r="J22" s="224"/>
      <c r="K22" s="224"/>
      <c r="L22" s="173"/>
      <c r="M22" s="173"/>
      <c r="N22" s="173"/>
      <c r="O22" s="173"/>
      <c r="P22" s="173"/>
      <c r="Q22" s="173"/>
      <c r="R22" s="7">
        <f>R20*10%</f>
        <v>0</v>
      </c>
      <c r="S22" s="224" t="s">
        <v>24</v>
      </c>
      <c r="T22" s="224"/>
      <c r="U22" s="7">
        <f>U20*10%</f>
        <v>0</v>
      </c>
    </row>
    <row r="23" spans="1:21" ht="20.25" customHeight="1">
      <c r="A23" s="230" t="s">
        <v>15</v>
      </c>
      <c r="B23" s="230"/>
      <c r="C23" s="230"/>
      <c r="D23" s="230"/>
      <c r="E23" s="170"/>
      <c r="F23" s="170"/>
      <c r="G23" s="7">
        <f>G20*70%</f>
        <v>0</v>
      </c>
      <c r="H23" s="230" t="s">
        <v>15</v>
      </c>
      <c r="I23" s="230"/>
      <c r="J23" s="230"/>
      <c r="K23" s="230"/>
      <c r="L23" s="170"/>
      <c r="M23" s="170"/>
      <c r="N23" s="170"/>
      <c r="O23" s="170"/>
      <c r="P23" s="170"/>
      <c r="Q23" s="170"/>
      <c r="R23" s="7">
        <f>R20*70%</f>
        <v>0</v>
      </c>
      <c r="S23" s="230" t="s">
        <v>15</v>
      </c>
      <c r="T23" s="230"/>
      <c r="U23" s="7">
        <f>U20*70%</f>
        <v>0</v>
      </c>
    </row>
    <row r="24" spans="1:21" ht="20.25" customHeight="1">
      <c r="A24" s="245" t="s">
        <v>238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</row>
    <row r="26" spans="1:21" ht="20.25" customHeight="1">
      <c r="A26" s="217" t="s">
        <v>239</v>
      </c>
      <c r="B26" s="218"/>
      <c r="C26" s="218"/>
      <c r="D26" s="218"/>
      <c r="E26" s="218"/>
      <c r="F26" s="219"/>
      <c r="G26" s="5">
        <f>+D18</f>
        <v>0</v>
      </c>
      <c r="H26" s="217" t="s">
        <v>239</v>
      </c>
      <c r="I26" s="218"/>
      <c r="J26" s="218"/>
      <c r="K26" s="218"/>
      <c r="L26" s="218"/>
      <c r="M26" s="218"/>
      <c r="N26" s="218"/>
      <c r="O26" s="218"/>
      <c r="P26" s="218"/>
      <c r="Q26" s="219"/>
      <c r="R26" s="5">
        <f>+K18+Q18</f>
        <v>0</v>
      </c>
      <c r="S26" s="216" t="s">
        <v>239</v>
      </c>
      <c r="T26" s="216"/>
      <c r="U26" s="6">
        <f>+R26+G26</f>
        <v>0</v>
      </c>
    </row>
    <row r="27" spans="1:21" ht="20.25" customHeight="1">
      <c r="A27" s="225" t="s">
        <v>23</v>
      </c>
      <c r="B27" s="226"/>
      <c r="C27" s="226"/>
      <c r="D27" s="226"/>
      <c r="E27" s="226"/>
      <c r="F27" s="227"/>
      <c r="G27" s="7">
        <f>G26*20%</f>
        <v>0</v>
      </c>
      <c r="H27" s="225" t="s">
        <v>23</v>
      </c>
      <c r="I27" s="226"/>
      <c r="J27" s="226"/>
      <c r="K27" s="226"/>
      <c r="L27" s="226"/>
      <c r="M27" s="226"/>
      <c r="N27" s="226"/>
      <c r="O27" s="226"/>
      <c r="P27" s="226"/>
      <c r="Q27" s="227"/>
      <c r="R27" s="7">
        <f>R26*20%</f>
        <v>0</v>
      </c>
      <c r="S27" s="224" t="s">
        <v>23</v>
      </c>
      <c r="T27" s="224"/>
      <c r="U27" s="6">
        <f>+R27+G27</f>
        <v>0</v>
      </c>
    </row>
    <row r="28" spans="1:21" ht="20.25" customHeight="1">
      <c r="A28" s="225" t="s">
        <v>24</v>
      </c>
      <c r="B28" s="226"/>
      <c r="C28" s="226"/>
      <c r="D28" s="226"/>
      <c r="E28" s="226"/>
      <c r="F28" s="227"/>
      <c r="G28" s="7">
        <f>G26*10%</f>
        <v>0</v>
      </c>
      <c r="H28" s="225" t="s">
        <v>24</v>
      </c>
      <c r="I28" s="226"/>
      <c r="J28" s="226"/>
      <c r="K28" s="226"/>
      <c r="L28" s="226"/>
      <c r="M28" s="226"/>
      <c r="N28" s="226"/>
      <c r="O28" s="226"/>
      <c r="P28" s="226"/>
      <c r="Q28" s="227"/>
      <c r="R28" s="7">
        <f>R26*10%</f>
        <v>0</v>
      </c>
      <c r="S28" s="224" t="s">
        <v>24</v>
      </c>
      <c r="T28" s="224"/>
      <c r="U28" s="6">
        <f>+R28+G28</f>
        <v>0</v>
      </c>
    </row>
    <row r="29" spans="1:21" ht="20.25" customHeight="1">
      <c r="A29" s="231" t="s">
        <v>15</v>
      </c>
      <c r="B29" s="232"/>
      <c r="C29" s="232"/>
      <c r="D29" s="232"/>
      <c r="E29" s="232"/>
      <c r="F29" s="233"/>
      <c r="G29" s="7">
        <f>G26*70%</f>
        <v>0</v>
      </c>
      <c r="H29" s="231" t="s">
        <v>15</v>
      </c>
      <c r="I29" s="232"/>
      <c r="J29" s="232"/>
      <c r="K29" s="232"/>
      <c r="L29" s="232"/>
      <c r="M29" s="232"/>
      <c r="N29" s="232"/>
      <c r="O29" s="232"/>
      <c r="P29" s="232"/>
      <c r="Q29" s="233"/>
      <c r="R29" s="7">
        <f>R26*70%</f>
        <v>0</v>
      </c>
      <c r="S29" s="230" t="s">
        <v>15</v>
      </c>
      <c r="T29" s="230"/>
      <c r="U29" s="6">
        <f>+R29+G29</f>
        <v>0</v>
      </c>
    </row>
    <row r="31" spans="1:21" ht="20.25" customHeight="1">
      <c r="A31" s="217" t="s">
        <v>240</v>
      </c>
      <c r="B31" s="218"/>
      <c r="C31" s="218"/>
      <c r="D31" s="218"/>
      <c r="E31" s="218"/>
      <c r="F31" s="219"/>
      <c r="G31" s="5">
        <f>+F18</f>
        <v>0</v>
      </c>
      <c r="H31" s="217" t="s">
        <v>33</v>
      </c>
      <c r="I31" s="218"/>
      <c r="J31" s="218"/>
      <c r="K31" s="218"/>
      <c r="L31" s="218"/>
      <c r="M31" s="218"/>
      <c r="N31" s="218"/>
      <c r="O31" s="218"/>
      <c r="P31" s="218"/>
      <c r="Q31" s="219"/>
      <c r="R31" s="5">
        <f>+M18+O18</f>
        <v>0</v>
      </c>
      <c r="S31" s="216" t="s">
        <v>33</v>
      </c>
      <c r="T31" s="216"/>
      <c r="U31" s="6">
        <f>+R31+G31</f>
        <v>0</v>
      </c>
    </row>
  </sheetData>
  <sheetProtection/>
  <mergeCells count="48">
    <mergeCell ref="A31:F31"/>
    <mergeCell ref="H31:Q31"/>
    <mergeCell ref="S31:T31"/>
    <mergeCell ref="T8:T9"/>
    <mergeCell ref="A28:F28"/>
    <mergeCell ref="H28:Q28"/>
    <mergeCell ref="S28:T28"/>
    <mergeCell ref="A29:F29"/>
    <mergeCell ref="H29:Q29"/>
    <mergeCell ref="S29:T29"/>
    <mergeCell ref="A24:U24"/>
    <mergeCell ref="A26:F26"/>
    <mergeCell ref="H26:Q26"/>
    <mergeCell ref="S26:T26"/>
    <mergeCell ref="A27:F27"/>
    <mergeCell ref="H27:Q27"/>
    <mergeCell ref="S27:T27"/>
    <mergeCell ref="A22:D22"/>
    <mergeCell ref="H22:K22"/>
    <mergeCell ref="S22:T22"/>
    <mergeCell ref="A23:D23"/>
    <mergeCell ref="H23:K23"/>
    <mergeCell ref="S23:T23"/>
    <mergeCell ref="A20:D20"/>
    <mergeCell ref="H20:K20"/>
    <mergeCell ref="S20:T20"/>
    <mergeCell ref="A21:D21"/>
    <mergeCell ref="H21:K21"/>
    <mergeCell ref="S21:T21"/>
    <mergeCell ref="L8:M8"/>
    <mergeCell ref="N8:O8"/>
    <mergeCell ref="P8:Q8"/>
    <mergeCell ref="R8:R9"/>
    <mergeCell ref="S8:S9"/>
    <mergeCell ref="U8:U9"/>
    <mergeCell ref="A8:A9"/>
    <mergeCell ref="C8:D8"/>
    <mergeCell ref="E8:F8"/>
    <mergeCell ref="G8:G9"/>
    <mergeCell ref="H8:H9"/>
    <mergeCell ref="J8:K8"/>
    <mergeCell ref="A2:U2"/>
    <mergeCell ref="A3:U3"/>
    <mergeCell ref="A4:U4"/>
    <mergeCell ref="A5:U5"/>
    <mergeCell ref="A7:G7"/>
    <mergeCell ref="H7:R7"/>
    <mergeCell ref="S7:U7"/>
  </mergeCells>
  <printOptions horizontalCentered="1"/>
  <pageMargins left="0.7086614173228346" right="0.7086614173228346" top="0.7480314960629921" bottom="0.7480314960629921" header="0.31496062992125984" footer="0.31496062992125984"/>
  <pageSetup fitToHeight="0" fitToWidth="1"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1"/>
  <sheetViews>
    <sheetView tabSelected="1" view="pageBreakPreview" zoomScale="90" zoomScaleSheetLayoutView="90" zoomScalePageLayoutView="0" workbookViewId="0" topLeftCell="C1">
      <selection activeCell="J7" sqref="J7:J8"/>
    </sheetView>
  </sheetViews>
  <sheetFormatPr defaultColWidth="8.140625" defaultRowHeight="15"/>
  <cols>
    <col min="1" max="1" width="7.00390625" style="1" bestFit="1" customWidth="1"/>
    <col min="2" max="2" width="9.140625" style="1" bestFit="1" customWidth="1"/>
    <col min="3" max="3" width="7.7109375" style="8" bestFit="1" customWidth="1"/>
    <col min="4" max="4" width="14.140625" style="8" customWidth="1"/>
    <col min="5" max="5" width="7.57421875" style="8" bestFit="1" customWidth="1"/>
    <col min="6" max="6" width="16.421875" style="8" customWidth="1"/>
    <col min="7" max="7" width="9.00390625" style="8" bestFit="1" customWidth="1"/>
    <col min="8" max="8" width="18.00390625" style="8" customWidth="1"/>
    <col min="9" max="9" width="10.57421875" style="8" customWidth="1"/>
    <col min="10" max="10" width="7.00390625" style="8" bestFit="1" customWidth="1"/>
    <col min="11" max="11" width="9.140625" style="8" bestFit="1" customWidth="1"/>
    <col min="12" max="12" width="6.57421875" style="8" bestFit="1" customWidth="1"/>
    <col min="13" max="13" width="8.421875" style="8" customWidth="1"/>
    <col min="14" max="14" width="7.57421875" style="8" bestFit="1" customWidth="1"/>
    <col min="15" max="15" width="11.140625" style="8" customWidth="1"/>
    <col min="16" max="16" width="7.57421875" style="8" bestFit="1" customWidth="1"/>
    <col min="17" max="17" width="17.7109375" style="8" customWidth="1"/>
    <col min="18" max="18" width="6.7109375" style="8" bestFit="1" customWidth="1"/>
    <col min="19" max="19" width="9.140625" style="8" customWidth="1"/>
    <col min="20" max="20" width="7.7109375" style="8" bestFit="1" customWidth="1"/>
    <col min="21" max="21" width="18.140625" style="8" customWidth="1"/>
    <col min="22" max="22" width="9.57421875" style="9" bestFit="1" customWidth="1"/>
    <col min="23" max="23" width="7.00390625" style="1" bestFit="1" customWidth="1"/>
    <col min="24" max="24" width="9.140625" style="1" bestFit="1" customWidth="1"/>
    <col min="25" max="25" width="11.7109375" style="1" customWidth="1"/>
    <col min="26" max="16384" width="8.140625" style="1" customWidth="1"/>
  </cols>
  <sheetData>
    <row r="1" spans="1:25" ht="21">
      <c r="A1" s="210" t="s">
        <v>251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</row>
    <row r="2" spans="1:25" ht="21">
      <c r="A2" s="210" t="s">
        <v>44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</row>
    <row r="3" spans="1:25" ht="21">
      <c r="A3" s="210" t="s">
        <v>42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</row>
    <row r="4" spans="1:25" ht="21">
      <c r="A4" s="212" t="s">
        <v>214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</row>
    <row r="5" spans="1:25" ht="21">
      <c r="A5" s="169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</row>
    <row r="6" spans="1:25" ht="21">
      <c r="A6" s="248" t="s">
        <v>252</v>
      </c>
      <c r="B6" s="248"/>
      <c r="C6" s="248"/>
      <c r="D6" s="248"/>
      <c r="E6" s="248"/>
      <c r="F6" s="248"/>
      <c r="G6" s="248"/>
      <c r="H6" s="248"/>
      <c r="I6" s="248"/>
      <c r="J6" s="248" t="s">
        <v>250</v>
      </c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37" t="s">
        <v>0</v>
      </c>
      <c r="X6" s="237"/>
      <c r="Y6" s="237"/>
    </row>
    <row r="7" spans="1:25" ht="21">
      <c r="A7" s="252" t="s">
        <v>1</v>
      </c>
      <c r="B7" s="174" t="s">
        <v>105</v>
      </c>
      <c r="C7" s="254" t="s">
        <v>215</v>
      </c>
      <c r="D7" s="255"/>
      <c r="E7" s="254" t="s">
        <v>216</v>
      </c>
      <c r="F7" s="255"/>
      <c r="G7" s="254" t="s">
        <v>217</v>
      </c>
      <c r="H7" s="255"/>
      <c r="I7" s="256" t="s">
        <v>3</v>
      </c>
      <c r="J7" s="258" t="s">
        <v>1</v>
      </c>
      <c r="K7" s="174" t="s">
        <v>105</v>
      </c>
      <c r="L7" s="254" t="s">
        <v>218</v>
      </c>
      <c r="M7" s="255"/>
      <c r="N7" s="254" t="s">
        <v>215</v>
      </c>
      <c r="O7" s="255"/>
      <c r="P7" s="254" t="s">
        <v>216</v>
      </c>
      <c r="Q7" s="255"/>
      <c r="R7" s="254" t="s">
        <v>219</v>
      </c>
      <c r="S7" s="255"/>
      <c r="T7" s="254" t="s">
        <v>217</v>
      </c>
      <c r="U7" s="255"/>
      <c r="V7" s="258" t="s">
        <v>3</v>
      </c>
      <c r="W7" s="265" t="s">
        <v>1</v>
      </c>
      <c r="X7" s="252" t="s">
        <v>2</v>
      </c>
      <c r="Y7" s="258" t="s">
        <v>3</v>
      </c>
    </row>
    <row r="8" spans="1:25" ht="21">
      <c r="A8" s="253"/>
      <c r="B8" s="174" t="s">
        <v>123</v>
      </c>
      <c r="C8" s="179" t="s">
        <v>151</v>
      </c>
      <c r="D8" s="179" t="s">
        <v>220</v>
      </c>
      <c r="E8" s="179" t="s">
        <v>151</v>
      </c>
      <c r="F8" s="179" t="s">
        <v>220</v>
      </c>
      <c r="G8" s="179" t="s">
        <v>151</v>
      </c>
      <c r="H8" s="179" t="s">
        <v>220</v>
      </c>
      <c r="I8" s="257"/>
      <c r="J8" s="259"/>
      <c r="K8" s="174" t="s">
        <v>123</v>
      </c>
      <c r="L8" s="179" t="s">
        <v>151</v>
      </c>
      <c r="M8" s="179" t="s">
        <v>105</v>
      </c>
      <c r="N8" s="179" t="s">
        <v>151</v>
      </c>
      <c r="O8" s="179" t="s">
        <v>105</v>
      </c>
      <c r="P8" s="179" t="s">
        <v>151</v>
      </c>
      <c r="Q8" s="179" t="s">
        <v>105</v>
      </c>
      <c r="R8" s="179" t="s">
        <v>151</v>
      </c>
      <c r="S8" s="179" t="s">
        <v>105</v>
      </c>
      <c r="T8" s="179" t="s">
        <v>151</v>
      </c>
      <c r="U8" s="179" t="s">
        <v>105</v>
      </c>
      <c r="V8" s="259"/>
      <c r="W8" s="266"/>
      <c r="X8" s="253"/>
      <c r="Y8" s="259"/>
    </row>
    <row r="9" spans="1:25" ht="21">
      <c r="A9" s="3" t="s">
        <v>17</v>
      </c>
      <c r="B9" s="180"/>
      <c r="C9" s="180">
        <v>13000</v>
      </c>
      <c r="D9" s="181">
        <f aca="true" t="shared" si="0" ref="D9:D14">+B9*C9</f>
        <v>0</v>
      </c>
      <c r="E9" s="180">
        <v>6000</v>
      </c>
      <c r="F9" s="181">
        <f aca="true" t="shared" si="1" ref="F9:F14">+E9*B9</f>
        <v>0</v>
      </c>
      <c r="G9" s="180">
        <v>3000</v>
      </c>
      <c r="H9" s="181">
        <f aca="true" t="shared" si="2" ref="H9:H14">+G9*B9</f>
        <v>0</v>
      </c>
      <c r="I9" s="180">
        <f aca="true" t="shared" si="3" ref="I9:I14">+D9+F9+H9</f>
        <v>0</v>
      </c>
      <c r="J9" s="182" t="s">
        <v>17</v>
      </c>
      <c r="K9" s="180"/>
      <c r="L9" s="180">
        <v>3000</v>
      </c>
      <c r="M9" s="181">
        <f>+K9*L9</f>
        <v>0</v>
      </c>
      <c r="N9" s="180">
        <v>15400</v>
      </c>
      <c r="O9" s="181">
        <f aca="true" t="shared" si="4" ref="O9:O14">+N9*K9</f>
        <v>0</v>
      </c>
      <c r="P9" s="180">
        <v>6000</v>
      </c>
      <c r="Q9" s="181">
        <f aca="true" t="shared" si="5" ref="Q9:Q14">+P9*K9</f>
        <v>0</v>
      </c>
      <c r="R9" s="180">
        <v>300</v>
      </c>
      <c r="S9" s="181">
        <f aca="true" t="shared" si="6" ref="S9:S14">+R9*K9</f>
        <v>0</v>
      </c>
      <c r="T9" s="180">
        <v>3000</v>
      </c>
      <c r="U9" s="181">
        <f aca="true" t="shared" si="7" ref="U9:U14">+T9*K9</f>
        <v>0</v>
      </c>
      <c r="V9" s="180">
        <f aca="true" t="shared" si="8" ref="V9:V14">+U9+S9+Q9+O9+M9</f>
        <v>0</v>
      </c>
      <c r="W9" s="181" t="s">
        <v>17</v>
      </c>
      <c r="X9" s="183">
        <f aca="true" t="shared" si="9" ref="X9:X14">B9+K9</f>
        <v>0</v>
      </c>
      <c r="Y9" s="180">
        <f aca="true" t="shared" si="10" ref="Y9:Y14">+I9+V9</f>
        <v>0</v>
      </c>
    </row>
    <row r="10" spans="1:25" ht="21">
      <c r="A10" s="3" t="s">
        <v>18</v>
      </c>
      <c r="B10" s="180"/>
      <c r="C10" s="180">
        <v>13000</v>
      </c>
      <c r="D10" s="181">
        <f t="shared" si="0"/>
        <v>0</v>
      </c>
      <c r="E10" s="180">
        <v>6000</v>
      </c>
      <c r="F10" s="181">
        <f t="shared" si="1"/>
        <v>0</v>
      </c>
      <c r="G10" s="180">
        <v>3000</v>
      </c>
      <c r="H10" s="181">
        <f t="shared" si="2"/>
        <v>0</v>
      </c>
      <c r="I10" s="180">
        <f t="shared" si="3"/>
        <v>0</v>
      </c>
      <c r="J10" s="182" t="s">
        <v>18</v>
      </c>
      <c r="K10" s="180"/>
      <c r="L10" s="180" t="s">
        <v>221</v>
      </c>
      <c r="M10" s="181">
        <v>0</v>
      </c>
      <c r="N10" s="180">
        <v>15400</v>
      </c>
      <c r="O10" s="181">
        <f t="shared" si="4"/>
        <v>0</v>
      </c>
      <c r="P10" s="180">
        <v>6000</v>
      </c>
      <c r="Q10" s="181">
        <f t="shared" si="5"/>
        <v>0</v>
      </c>
      <c r="R10" s="180">
        <v>300</v>
      </c>
      <c r="S10" s="181">
        <f t="shared" si="6"/>
        <v>0</v>
      </c>
      <c r="T10" s="180">
        <v>3000</v>
      </c>
      <c r="U10" s="181">
        <f t="shared" si="7"/>
        <v>0</v>
      </c>
      <c r="V10" s="180">
        <f t="shared" si="8"/>
        <v>0</v>
      </c>
      <c r="W10" s="181" t="s">
        <v>18</v>
      </c>
      <c r="X10" s="183">
        <f t="shared" si="9"/>
        <v>0</v>
      </c>
      <c r="Y10" s="180">
        <f t="shared" si="10"/>
        <v>0</v>
      </c>
    </row>
    <row r="11" spans="1:25" ht="21">
      <c r="A11" s="3" t="s">
        <v>19</v>
      </c>
      <c r="B11" s="180"/>
      <c r="C11" s="180">
        <v>13000</v>
      </c>
      <c r="D11" s="181">
        <f t="shared" si="0"/>
        <v>0</v>
      </c>
      <c r="E11" s="180">
        <v>6000</v>
      </c>
      <c r="F11" s="181">
        <f t="shared" si="1"/>
        <v>0</v>
      </c>
      <c r="G11" s="180">
        <v>3000</v>
      </c>
      <c r="H11" s="181">
        <f t="shared" si="2"/>
        <v>0</v>
      </c>
      <c r="I11" s="180">
        <f t="shared" si="3"/>
        <v>0</v>
      </c>
      <c r="J11" s="182" t="s">
        <v>19</v>
      </c>
      <c r="K11" s="180"/>
      <c r="L11" s="180" t="s">
        <v>221</v>
      </c>
      <c r="M11" s="181">
        <v>0</v>
      </c>
      <c r="N11" s="180">
        <v>15400</v>
      </c>
      <c r="O11" s="181">
        <f t="shared" si="4"/>
        <v>0</v>
      </c>
      <c r="P11" s="180">
        <v>6000</v>
      </c>
      <c r="Q11" s="181">
        <f t="shared" si="5"/>
        <v>0</v>
      </c>
      <c r="R11" s="180">
        <v>300</v>
      </c>
      <c r="S11" s="181">
        <f t="shared" si="6"/>
        <v>0</v>
      </c>
      <c r="T11" s="180">
        <v>3000</v>
      </c>
      <c r="U11" s="181">
        <f t="shared" si="7"/>
        <v>0</v>
      </c>
      <c r="V11" s="180">
        <f t="shared" si="8"/>
        <v>0</v>
      </c>
      <c r="W11" s="181" t="s">
        <v>19</v>
      </c>
      <c r="X11" s="183">
        <f t="shared" si="9"/>
        <v>0</v>
      </c>
      <c r="Y11" s="180">
        <f t="shared" si="10"/>
        <v>0</v>
      </c>
    </row>
    <row r="12" spans="1:25" ht="21">
      <c r="A12" s="3" t="s">
        <v>20</v>
      </c>
      <c r="B12" s="180"/>
      <c r="C12" s="180">
        <v>13000</v>
      </c>
      <c r="D12" s="181">
        <f t="shared" si="0"/>
        <v>0</v>
      </c>
      <c r="E12" s="180">
        <v>6000</v>
      </c>
      <c r="F12" s="181">
        <f t="shared" si="1"/>
        <v>0</v>
      </c>
      <c r="G12" s="180">
        <v>3000</v>
      </c>
      <c r="H12" s="181">
        <f t="shared" si="2"/>
        <v>0</v>
      </c>
      <c r="I12" s="180">
        <f t="shared" si="3"/>
        <v>0</v>
      </c>
      <c r="J12" s="182" t="s">
        <v>20</v>
      </c>
      <c r="K12" s="180"/>
      <c r="L12" s="180" t="s">
        <v>221</v>
      </c>
      <c r="M12" s="181">
        <v>0</v>
      </c>
      <c r="N12" s="180">
        <v>15400</v>
      </c>
      <c r="O12" s="181">
        <f t="shared" si="4"/>
        <v>0</v>
      </c>
      <c r="P12" s="180">
        <v>6000</v>
      </c>
      <c r="Q12" s="181">
        <f t="shared" si="5"/>
        <v>0</v>
      </c>
      <c r="R12" s="180">
        <v>300</v>
      </c>
      <c r="S12" s="181">
        <f t="shared" si="6"/>
        <v>0</v>
      </c>
      <c r="T12" s="180">
        <v>3000</v>
      </c>
      <c r="U12" s="181">
        <f t="shared" si="7"/>
        <v>0</v>
      </c>
      <c r="V12" s="180">
        <f t="shared" si="8"/>
        <v>0</v>
      </c>
      <c r="W12" s="181" t="s">
        <v>20</v>
      </c>
      <c r="X12" s="183">
        <f t="shared" si="9"/>
        <v>0</v>
      </c>
      <c r="Y12" s="180">
        <f t="shared" si="10"/>
        <v>0</v>
      </c>
    </row>
    <row r="13" spans="1:25" ht="21">
      <c r="A13" s="3" t="s">
        <v>21</v>
      </c>
      <c r="B13" s="180"/>
      <c r="C13" s="180">
        <v>13000</v>
      </c>
      <c r="D13" s="181">
        <f t="shared" si="0"/>
        <v>0</v>
      </c>
      <c r="E13" s="180">
        <v>6000</v>
      </c>
      <c r="F13" s="181">
        <f t="shared" si="1"/>
        <v>0</v>
      </c>
      <c r="G13" s="180">
        <v>3000</v>
      </c>
      <c r="H13" s="181">
        <f t="shared" si="2"/>
        <v>0</v>
      </c>
      <c r="I13" s="180">
        <f t="shared" si="3"/>
        <v>0</v>
      </c>
      <c r="J13" s="182" t="s">
        <v>21</v>
      </c>
      <c r="K13" s="180"/>
      <c r="L13" s="180" t="s">
        <v>221</v>
      </c>
      <c r="M13" s="181">
        <v>0</v>
      </c>
      <c r="N13" s="180">
        <v>15400</v>
      </c>
      <c r="O13" s="181">
        <f t="shared" si="4"/>
        <v>0</v>
      </c>
      <c r="P13" s="180">
        <v>6000</v>
      </c>
      <c r="Q13" s="181">
        <f t="shared" si="5"/>
        <v>0</v>
      </c>
      <c r="R13" s="180">
        <v>300</v>
      </c>
      <c r="S13" s="181">
        <f t="shared" si="6"/>
        <v>0</v>
      </c>
      <c r="T13" s="180">
        <v>3000</v>
      </c>
      <c r="U13" s="181">
        <f t="shared" si="7"/>
        <v>0</v>
      </c>
      <c r="V13" s="180">
        <f t="shared" si="8"/>
        <v>0</v>
      </c>
      <c r="W13" s="181" t="s">
        <v>21</v>
      </c>
      <c r="X13" s="183">
        <f t="shared" si="9"/>
        <v>0</v>
      </c>
      <c r="Y13" s="180">
        <f t="shared" si="10"/>
        <v>0</v>
      </c>
    </row>
    <row r="14" spans="1:28" ht="21">
      <c r="A14" s="3" t="s">
        <v>22</v>
      </c>
      <c r="B14" s="180"/>
      <c r="C14" s="180">
        <v>13000</v>
      </c>
      <c r="D14" s="181">
        <f t="shared" si="0"/>
        <v>0</v>
      </c>
      <c r="E14" s="180">
        <v>6000</v>
      </c>
      <c r="F14" s="181">
        <f t="shared" si="1"/>
        <v>0</v>
      </c>
      <c r="G14" s="180">
        <v>3000</v>
      </c>
      <c r="H14" s="181">
        <f t="shared" si="2"/>
        <v>0</v>
      </c>
      <c r="I14" s="180">
        <f t="shared" si="3"/>
        <v>0</v>
      </c>
      <c r="J14" s="182" t="s">
        <v>22</v>
      </c>
      <c r="K14" s="180"/>
      <c r="L14" s="180" t="s">
        <v>221</v>
      </c>
      <c r="M14" s="181">
        <v>0</v>
      </c>
      <c r="N14" s="180">
        <v>15400</v>
      </c>
      <c r="O14" s="181">
        <f t="shared" si="4"/>
        <v>0</v>
      </c>
      <c r="P14" s="180">
        <v>6000</v>
      </c>
      <c r="Q14" s="181">
        <f t="shared" si="5"/>
        <v>0</v>
      </c>
      <c r="R14" s="180">
        <v>300</v>
      </c>
      <c r="S14" s="181">
        <f t="shared" si="6"/>
        <v>0</v>
      </c>
      <c r="T14" s="180">
        <v>3000</v>
      </c>
      <c r="U14" s="181">
        <f t="shared" si="7"/>
        <v>0</v>
      </c>
      <c r="V14" s="180">
        <f t="shared" si="8"/>
        <v>0</v>
      </c>
      <c r="W14" s="181" t="s">
        <v>22</v>
      </c>
      <c r="X14" s="183">
        <f t="shared" si="9"/>
        <v>0</v>
      </c>
      <c r="Y14" s="180">
        <f t="shared" si="10"/>
        <v>0</v>
      </c>
      <c r="AA14" s="8"/>
      <c r="AB14" s="8"/>
    </row>
    <row r="15" spans="1:28" ht="21">
      <c r="A15" s="4" t="s">
        <v>12</v>
      </c>
      <c r="B15" s="184">
        <f aca="true" t="shared" si="11" ref="B15:I15">SUM(B9:B14)</f>
        <v>0</v>
      </c>
      <c r="C15" s="184">
        <f t="shared" si="11"/>
        <v>78000</v>
      </c>
      <c r="D15" s="184">
        <f t="shared" si="11"/>
        <v>0</v>
      </c>
      <c r="E15" s="184">
        <f t="shared" si="11"/>
        <v>36000</v>
      </c>
      <c r="F15" s="184">
        <f t="shared" si="11"/>
        <v>0</v>
      </c>
      <c r="G15" s="184">
        <f t="shared" si="11"/>
        <v>18000</v>
      </c>
      <c r="H15" s="184">
        <f t="shared" si="11"/>
        <v>0</v>
      </c>
      <c r="I15" s="184">
        <f t="shared" si="11"/>
        <v>0</v>
      </c>
      <c r="J15" s="185" t="s">
        <v>12</v>
      </c>
      <c r="K15" s="184">
        <f>SUM(K9:K14)</f>
        <v>0</v>
      </c>
      <c r="L15" s="184">
        <f aca="true" t="shared" si="12" ref="L15:U15">SUM(L9:L14)</f>
        <v>3000</v>
      </c>
      <c r="M15" s="184">
        <f t="shared" si="12"/>
        <v>0</v>
      </c>
      <c r="N15" s="184">
        <f t="shared" si="12"/>
        <v>92400</v>
      </c>
      <c r="O15" s="184">
        <f t="shared" si="12"/>
        <v>0</v>
      </c>
      <c r="P15" s="184">
        <f t="shared" si="12"/>
        <v>36000</v>
      </c>
      <c r="Q15" s="184">
        <f t="shared" si="12"/>
        <v>0</v>
      </c>
      <c r="R15" s="184">
        <f t="shared" si="12"/>
        <v>1800</v>
      </c>
      <c r="S15" s="184">
        <f t="shared" si="12"/>
        <v>0</v>
      </c>
      <c r="T15" s="184">
        <f t="shared" si="12"/>
        <v>18000</v>
      </c>
      <c r="U15" s="184">
        <f t="shared" si="12"/>
        <v>0</v>
      </c>
      <c r="V15" s="184">
        <f>SUM(V9:V14)</f>
        <v>0</v>
      </c>
      <c r="W15" s="184" t="s">
        <v>12</v>
      </c>
      <c r="X15" s="186">
        <f>SUM(X9:X14)</f>
        <v>0</v>
      </c>
      <c r="Y15" s="186">
        <f>SUM(Y9:Y14)</f>
        <v>0</v>
      </c>
      <c r="AA15" s="8"/>
      <c r="AB15" s="8"/>
    </row>
    <row r="16" spans="1:28" ht="21">
      <c r="A16" s="163"/>
      <c r="B16" s="163"/>
      <c r="C16" s="164"/>
      <c r="D16" s="164"/>
      <c r="E16" s="164"/>
      <c r="F16" s="164"/>
      <c r="G16" s="164"/>
      <c r="H16" s="164"/>
      <c r="I16" s="164"/>
      <c r="J16" s="164"/>
      <c r="K16" s="164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6"/>
      <c r="Y16" s="167"/>
      <c r="AA16" s="8"/>
      <c r="AB16" s="8"/>
    </row>
    <row r="17" spans="1:25" ht="21">
      <c r="A17" s="217" t="s">
        <v>33</v>
      </c>
      <c r="B17" s="218"/>
      <c r="C17" s="218"/>
      <c r="D17" s="218"/>
      <c r="E17" s="218"/>
      <c r="F17" s="218"/>
      <c r="G17" s="218"/>
      <c r="H17" s="219"/>
      <c r="I17" s="5">
        <f>+I15</f>
        <v>0</v>
      </c>
      <c r="J17" s="249" t="s">
        <v>33</v>
      </c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1"/>
      <c r="V17" s="5">
        <f>+V15</f>
        <v>0</v>
      </c>
      <c r="W17" s="262"/>
      <c r="X17" s="263"/>
      <c r="Y17" s="6">
        <f>+Y16</f>
        <v>0</v>
      </c>
    </row>
    <row r="18" spans="1:25" ht="21">
      <c r="A18" s="225" t="s">
        <v>23</v>
      </c>
      <c r="B18" s="226"/>
      <c r="C18" s="226"/>
      <c r="D18" s="226"/>
      <c r="E18" s="226"/>
      <c r="F18" s="226"/>
      <c r="G18" s="226"/>
      <c r="H18" s="227"/>
      <c r="I18" s="7">
        <f>I17*20%</f>
        <v>0</v>
      </c>
      <c r="J18" s="228" t="s">
        <v>23</v>
      </c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64"/>
      <c r="V18" s="7">
        <f>V17*20%</f>
        <v>0</v>
      </c>
      <c r="W18" s="260"/>
      <c r="X18" s="261"/>
      <c r="Y18" s="7">
        <f>Y17*20%</f>
        <v>0</v>
      </c>
    </row>
    <row r="19" spans="1:25" ht="21">
      <c r="A19" s="225" t="s">
        <v>24</v>
      </c>
      <c r="B19" s="226"/>
      <c r="C19" s="226"/>
      <c r="D19" s="226"/>
      <c r="E19" s="226"/>
      <c r="F19" s="226"/>
      <c r="G19" s="226"/>
      <c r="H19" s="227"/>
      <c r="I19" s="7">
        <f>I17*10%</f>
        <v>0</v>
      </c>
      <c r="J19" s="228" t="s">
        <v>24</v>
      </c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64"/>
      <c r="V19" s="7">
        <f>V17*10%</f>
        <v>0</v>
      </c>
      <c r="W19" s="260"/>
      <c r="X19" s="261"/>
      <c r="Y19" s="7">
        <f>Y17*10%</f>
        <v>0</v>
      </c>
    </row>
    <row r="20" spans="1:25" ht="21">
      <c r="A20" s="231" t="s">
        <v>15</v>
      </c>
      <c r="B20" s="232"/>
      <c r="C20" s="232"/>
      <c r="D20" s="232"/>
      <c r="E20" s="232"/>
      <c r="F20" s="232"/>
      <c r="G20" s="232"/>
      <c r="H20" s="233"/>
      <c r="I20" s="7">
        <f>I17*70%</f>
        <v>0</v>
      </c>
      <c r="J20" s="228" t="s">
        <v>15</v>
      </c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64"/>
      <c r="V20" s="7">
        <f>V17*70%</f>
        <v>0</v>
      </c>
      <c r="W20" s="260"/>
      <c r="X20" s="261"/>
      <c r="Y20" s="7">
        <f>Y17*70%</f>
        <v>0</v>
      </c>
    </row>
    <row r="21" spans="1:25" ht="21">
      <c r="A21" s="245" t="s">
        <v>204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</row>
    <row r="23" spans="1:25" ht="21">
      <c r="A23" s="217" t="s">
        <v>222</v>
      </c>
      <c r="B23" s="218"/>
      <c r="C23" s="218"/>
      <c r="D23" s="218"/>
      <c r="E23" s="218"/>
      <c r="F23" s="218"/>
      <c r="G23" s="218"/>
      <c r="H23" s="219"/>
      <c r="I23" s="5">
        <f>+D15+H15</f>
        <v>0</v>
      </c>
      <c r="J23" s="249" t="s">
        <v>223</v>
      </c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1"/>
      <c r="V23" s="5">
        <f>+M15+O15+U15</f>
        <v>0</v>
      </c>
      <c r="W23" s="262"/>
      <c r="X23" s="263"/>
      <c r="Y23" s="6">
        <f>+I23+V23</f>
        <v>0</v>
      </c>
    </row>
    <row r="24" spans="1:25" ht="21">
      <c r="A24" s="225" t="s">
        <v>23</v>
      </c>
      <c r="B24" s="226"/>
      <c r="C24" s="226"/>
      <c r="D24" s="226"/>
      <c r="E24" s="226"/>
      <c r="F24" s="226"/>
      <c r="G24" s="226"/>
      <c r="H24" s="227"/>
      <c r="I24" s="7">
        <f>I23*20%</f>
        <v>0</v>
      </c>
      <c r="J24" s="228" t="s">
        <v>23</v>
      </c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64"/>
      <c r="V24" s="7">
        <f>V23*20%</f>
        <v>0</v>
      </c>
      <c r="W24" s="260"/>
      <c r="X24" s="261"/>
      <c r="Y24" s="6">
        <f>+I24+V24</f>
        <v>0</v>
      </c>
    </row>
    <row r="25" spans="1:25" ht="21">
      <c r="A25" s="225" t="s">
        <v>24</v>
      </c>
      <c r="B25" s="226"/>
      <c r="C25" s="226"/>
      <c r="D25" s="226"/>
      <c r="E25" s="226"/>
      <c r="F25" s="226"/>
      <c r="G25" s="226"/>
      <c r="H25" s="227"/>
      <c r="I25" s="7">
        <f>I23*10%</f>
        <v>0</v>
      </c>
      <c r="J25" s="228" t="s">
        <v>24</v>
      </c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64"/>
      <c r="V25" s="7">
        <f>V23*10%</f>
        <v>0</v>
      </c>
      <c r="W25" s="260"/>
      <c r="X25" s="261"/>
      <c r="Y25" s="6">
        <f>+I25+V25</f>
        <v>0</v>
      </c>
    </row>
    <row r="26" spans="1:25" ht="21">
      <c r="A26" s="231" t="s">
        <v>15</v>
      </c>
      <c r="B26" s="232"/>
      <c r="C26" s="232"/>
      <c r="D26" s="232"/>
      <c r="E26" s="232"/>
      <c r="F26" s="232"/>
      <c r="G26" s="232"/>
      <c r="H26" s="233"/>
      <c r="I26" s="7">
        <f>I23*70%</f>
        <v>0</v>
      </c>
      <c r="J26" s="228" t="s">
        <v>15</v>
      </c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64"/>
      <c r="V26" s="7">
        <f>V23*70%</f>
        <v>0</v>
      </c>
      <c r="W26" s="260"/>
      <c r="X26" s="261"/>
      <c r="Y26" s="6">
        <f>+I26+V26</f>
        <v>0</v>
      </c>
    </row>
    <row r="27" spans="1:25" ht="21">
      <c r="A27" s="245" t="s">
        <v>204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</row>
    <row r="28" spans="1:25" ht="21">
      <c r="A28" s="217" t="s">
        <v>224</v>
      </c>
      <c r="B28" s="218"/>
      <c r="C28" s="218"/>
      <c r="D28" s="218"/>
      <c r="E28" s="218"/>
      <c r="F28" s="218"/>
      <c r="G28" s="218"/>
      <c r="H28" s="219"/>
      <c r="I28" s="5">
        <f>+F15</f>
        <v>0</v>
      </c>
      <c r="J28" s="249" t="s">
        <v>33</v>
      </c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1"/>
      <c r="V28" s="5">
        <f>+Q15+S15</f>
        <v>0</v>
      </c>
      <c r="W28" s="262"/>
      <c r="X28" s="263"/>
      <c r="Y28" s="6">
        <f>+V28+I28</f>
        <v>0</v>
      </c>
    </row>
    <row r="30" ht="21">
      <c r="W30" s="10"/>
    </row>
    <row r="31" ht="21">
      <c r="W31" s="10"/>
    </row>
  </sheetData>
  <sheetProtection/>
  <mergeCells count="51">
    <mergeCell ref="Y7:Y8"/>
    <mergeCell ref="A26:H26"/>
    <mergeCell ref="J26:U26"/>
    <mergeCell ref="W26:X26"/>
    <mergeCell ref="A20:H20"/>
    <mergeCell ref="J20:U20"/>
    <mergeCell ref="W20:X20"/>
    <mergeCell ref="A27:Y27"/>
    <mergeCell ref="A28:H28"/>
    <mergeCell ref="J28:U28"/>
    <mergeCell ref="W28:X28"/>
    <mergeCell ref="A24:H24"/>
    <mergeCell ref="J24:U24"/>
    <mergeCell ref="W24:X24"/>
    <mergeCell ref="A25:H25"/>
    <mergeCell ref="J25:U25"/>
    <mergeCell ref="W25:X25"/>
    <mergeCell ref="A21:Y21"/>
    <mergeCell ref="A23:H23"/>
    <mergeCell ref="J23:U23"/>
    <mergeCell ref="W23:X23"/>
    <mergeCell ref="W17:X17"/>
    <mergeCell ref="A18:H18"/>
    <mergeCell ref="J18:U18"/>
    <mergeCell ref="W18:X18"/>
    <mergeCell ref="A19:H19"/>
    <mergeCell ref="J19:U19"/>
    <mergeCell ref="W19:X19"/>
    <mergeCell ref="L7:M7"/>
    <mergeCell ref="N7:O7"/>
    <mergeCell ref="P7:Q7"/>
    <mergeCell ref="R7:S7"/>
    <mergeCell ref="T7:U7"/>
    <mergeCell ref="V7:V8"/>
    <mergeCell ref="W7:W8"/>
    <mergeCell ref="X7:X8"/>
    <mergeCell ref="A17:H17"/>
    <mergeCell ref="J17:U17"/>
    <mergeCell ref="A7:A8"/>
    <mergeCell ref="C7:D7"/>
    <mergeCell ref="E7:F7"/>
    <mergeCell ref="G7:H7"/>
    <mergeCell ref="I7:I8"/>
    <mergeCell ref="J7:J8"/>
    <mergeCell ref="A1:Y1"/>
    <mergeCell ref="A2:Y2"/>
    <mergeCell ref="A3:Y3"/>
    <mergeCell ref="A4:Y4"/>
    <mergeCell ref="A6:I6"/>
    <mergeCell ref="J6:V6"/>
    <mergeCell ref="W6:Y6"/>
  </mergeCells>
  <printOptions horizontalCentered="1"/>
  <pageMargins left="0.9055118110236221" right="0.5118110236220472" top="0.7480314960629921" bottom="0.7480314960629921" header="0.31496062992125984" footer="0.31496062992125984"/>
  <pageSetup horizontalDpi="600" verticalDpi="600" orientation="landscape" paperSize="9" scale="75" r:id="rId1"/>
  <colBreaks count="1" manualBreakCount="1">
    <brk id="9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8"/>
  <sheetViews>
    <sheetView view="pageBreakPreview" zoomScale="95" zoomScaleSheetLayoutView="95" zoomScalePageLayoutView="0" workbookViewId="0" topLeftCell="A1">
      <selection activeCell="G7" sqref="G7"/>
    </sheetView>
  </sheetViews>
  <sheetFormatPr defaultColWidth="9.00390625" defaultRowHeight="15"/>
  <cols>
    <col min="1" max="1" width="3.140625" style="22" bestFit="1" customWidth="1"/>
    <col min="2" max="2" width="18.140625" style="22" bestFit="1" customWidth="1"/>
    <col min="3" max="3" width="9.140625" style="22" bestFit="1" customWidth="1"/>
    <col min="4" max="4" width="8.140625" style="22" bestFit="1" customWidth="1"/>
    <col min="5" max="5" width="26.00390625" style="22" bestFit="1" customWidth="1"/>
    <col min="6" max="7" width="7.421875" style="45" bestFit="1" customWidth="1"/>
    <col min="8" max="8" width="10.421875" style="22" bestFit="1" customWidth="1"/>
    <col min="9" max="10" width="8.57421875" style="22" bestFit="1" customWidth="1"/>
    <col min="11" max="11" width="7.140625" style="22" bestFit="1" customWidth="1"/>
    <col min="12" max="16384" width="9.00390625" style="22" customWidth="1"/>
  </cols>
  <sheetData>
    <row r="1" spans="1:10" s="1" customFormat="1" ht="21">
      <c r="A1" s="210" t="s">
        <v>242</v>
      </c>
      <c r="B1" s="210"/>
      <c r="C1" s="210"/>
      <c r="D1" s="210"/>
      <c r="E1" s="210"/>
      <c r="F1" s="210"/>
      <c r="G1" s="210"/>
      <c r="H1" s="210"/>
      <c r="I1" s="42"/>
      <c r="J1" s="42"/>
    </row>
    <row r="2" spans="1:10" s="1" customFormat="1" ht="21">
      <c r="A2" s="210" t="s">
        <v>63</v>
      </c>
      <c r="B2" s="210"/>
      <c r="C2" s="210"/>
      <c r="D2" s="210"/>
      <c r="E2" s="210"/>
      <c r="F2" s="210"/>
      <c r="G2" s="210"/>
      <c r="H2" s="210"/>
      <c r="I2" s="42"/>
      <c r="J2" s="42"/>
    </row>
    <row r="3" spans="1:10" s="1" customFormat="1" ht="21">
      <c r="A3" s="273" t="s">
        <v>42</v>
      </c>
      <c r="B3" s="273"/>
      <c r="C3" s="273"/>
      <c r="D3" s="273"/>
      <c r="E3" s="273"/>
      <c r="F3" s="273"/>
      <c r="G3" s="273"/>
      <c r="H3" s="273"/>
      <c r="I3" s="43"/>
      <c r="J3" s="43"/>
    </row>
    <row r="5" spans="1:8" ht="21">
      <c r="A5" s="271" t="s">
        <v>53</v>
      </c>
      <c r="B5" s="271" t="s">
        <v>54</v>
      </c>
      <c r="C5" s="271" t="s">
        <v>55</v>
      </c>
      <c r="D5" s="271" t="s">
        <v>56</v>
      </c>
      <c r="E5" s="274" t="s">
        <v>57</v>
      </c>
      <c r="F5" s="274" t="s">
        <v>58</v>
      </c>
      <c r="G5" s="274"/>
      <c r="H5" s="271" t="s">
        <v>59</v>
      </c>
    </row>
    <row r="6" spans="1:8" ht="21">
      <c r="A6" s="272"/>
      <c r="B6" s="272"/>
      <c r="C6" s="272"/>
      <c r="D6" s="272"/>
      <c r="E6" s="274"/>
      <c r="F6" s="44" t="s">
        <v>243</v>
      </c>
      <c r="G6" s="48" t="s">
        <v>244</v>
      </c>
      <c r="H6" s="272"/>
    </row>
    <row r="7" spans="1:8" ht="21">
      <c r="A7" s="40">
        <v>3</v>
      </c>
      <c r="B7" s="40" t="s">
        <v>60</v>
      </c>
      <c r="C7" s="40">
        <v>14</v>
      </c>
      <c r="D7" s="40"/>
      <c r="E7" s="40"/>
      <c r="F7" s="41">
        <f>E7*D7</f>
        <v>0</v>
      </c>
      <c r="G7" s="41">
        <f>E7*D7</f>
        <v>0</v>
      </c>
      <c r="H7" s="41">
        <f>F7+G7</f>
        <v>0</v>
      </c>
    </row>
    <row r="8" spans="1:8" ht="21">
      <c r="A8" s="40">
        <v>4</v>
      </c>
      <c r="B8" s="40" t="s">
        <v>60</v>
      </c>
      <c r="C8" s="40">
        <v>12</v>
      </c>
      <c r="D8" s="40"/>
      <c r="E8" s="40"/>
      <c r="F8" s="41">
        <f>E8*D8</f>
        <v>0</v>
      </c>
      <c r="G8" s="41">
        <f>E8*D8</f>
        <v>0</v>
      </c>
      <c r="H8" s="41">
        <f>F8+G8</f>
        <v>0</v>
      </c>
    </row>
    <row r="9" spans="1:8" ht="21">
      <c r="A9" s="40">
        <v>4</v>
      </c>
      <c r="B9" s="40" t="s">
        <v>61</v>
      </c>
      <c r="C9" s="40">
        <v>44</v>
      </c>
      <c r="D9" s="40"/>
      <c r="E9" s="40"/>
      <c r="F9" s="41">
        <f>E9*D9</f>
        <v>0</v>
      </c>
      <c r="G9" s="41">
        <f>E9*D9</f>
        <v>0</v>
      </c>
      <c r="H9" s="41">
        <f>F9+G9</f>
        <v>0</v>
      </c>
    </row>
    <row r="10" spans="1:8" ht="21">
      <c r="A10" s="40">
        <v>5</v>
      </c>
      <c r="B10" s="40" t="s">
        <v>61</v>
      </c>
      <c r="C10" s="40">
        <v>40</v>
      </c>
      <c r="D10" s="40"/>
      <c r="E10" s="40"/>
      <c r="F10" s="41">
        <f>E10*D10</f>
        <v>0</v>
      </c>
      <c r="G10" s="41">
        <f>E10*D10</f>
        <v>0</v>
      </c>
      <c r="H10" s="41">
        <f>F10+G10</f>
        <v>0</v>
      </c>
    </row>
    <row r="11" spans="1:8" ht="42">
      <c r="A11" s="40">
        <v>6</v>
      </c>
      <c r="B11" s="40" t="s">
        <v>62</v>
      </c>
      <c r="C11" s="40">
        <v>39</v>
      </c>
      <c r="D11" s="40"/>
      <c r="E11" s="40"/>
      <c r="F11" s="41">
        <f>E11*D11</f>
        <v>0</v>
      </c>
      <c r="G11" s="41">
        <f>E11*D11</f>
        <v>0</v>
      </c>
      <c r="H11" s="41">
        <f>F11+G11</f>
        <v>0</v>
      </c>
    </row>
    <row r="12" spans="1:8" ht="21">
      <c r="A12" s="267" t="s">
        <v>12</v>
      </c>
      <c r="B12" s="267"/>
      <c r="C12" s="40">
        <f>SUM(C7:C11)</f>
        <v>149</v>
      </c>
      <c r="D12" s="40">
        <f>SUM(D7:D11)</f>
        <v>0</v>
      </c>
      <c r="E12" s="40"/>
      <c r="F12" s="41"/>
      <c r="G12" s="41"/>
      <c r="H12" s="41">
        <f>SUM(H7:H11)</f>
        <v>0</v>
      </c>
    </row>
    <row r="14" spans="1:8" s="1" customFormat="1" ht="21">
      <c r="A14" s="268" t="s">
        <v>33</v>
      </c>
      <c r="B14" s="268"/>
      <c r="C14" s="268"/>
      <c r="D14" s="268"/>
      <c r="E14" s="268"/>
      <c r="F14" s="268"/>
      <c r="G14" s="268"/>
      <c r="H14" s="46">
        <f>+H12</f>
        <v>0</v>
      </c>
    </row>
    <row r="15" spans="1:8" s="1" customFormat="1" ht="21">
      <c r="A15" s="269" t="s">
        <v>13</v>
      </c>
      <c r="B15" s="269"/>
      <c r="C15" s="269"/>
      <c r="D15" s="269"/>
      <c r="E15" s="269"/>
      <c r="F15" s="269"/>
      <c r="G15" s="269"/>
      <c r="H15" s="47">
        <f>H14*20%</f>
        <v>0</v>
      </c>
    </row>
    <row r="16" spans="1:8" s="1" customFormat="1" ht="21">
      <c r="A16" s="269" t="s">
        <v>14</v>
      </c>
      <c r="B16" s="269"/>
      <c r="C16" s="269"/>
      <c r="D16" s="269"/>
      <c r="E16" s="269"/>
      <c r="F16" s="269"/>
      <c r="G16" s="269"/>
      <c r="H16" s="47">
        <f>H14*10%</f>
        <v>0</v>
      </c>
    </row>
    <row r="17" spans="1:8" s="1" customFormat="1" ht="21">
      <c r="A17" s="270" t="s">
        <v>15</v>
      </c>
      <c r="B17" s="270"/>
      <c r="C17" s="270"/>
      <c r="D17" s="270"/>
      <c r="E17" s="270"/>
      <c r="F17" s="270"/>
      <c r="G17" s="270"/>
      <c r="H17" s="47">
        <f>H14*70%</f>
        <v>0</v>
      </c>
    </row>
    <row r="18" spans="1:13" ht="21">
      <c r="A18" s="245" t="s">
        <v>16</v>
      </c>
      <c r="B18" s="245"/>
      <c r="C18" s="245"/>
      <c r="D18" s="245"/>
      <c r="E18" s="245"/>
      <c r="F18" s="245"/>
      <c r="G18" s="245"/>
      <c r="H18" s="245"/>
      <c r="I18" s="43"/>
      <c r="J18" s="43"/>
      <c r="K18" s="43"/>
      <c r="L18" s="43"/>
      <c r="M18" s="43"/>
    </row>
  </sheetData>
  <sheetProtection/>
  <mergeCells count="16">
    <mergeCell ref="A1:H1"/>
    <mergeCell ref="A5:A6"/>
    <mergeCell ref="B5:B6"/>
    <mergeCell ref="A2:H2"/>
    <mergeCell ref="A3:H3"/>
    <mergeCell ref="F5:G5"/>
    <mergeCell ref="H5:H6"/>
    <mergeCell ref="C5:C6"/>
    <mergeCell ref="D5:D6"/>
    <mergeCell ref="E5:E6"/>
    <mergeCell ref="A12:B12"/>
    <mergeCell ref="A18:H18"/>
    <mergeCell ref="A14:G14"/>
    <mergeCell ref="A15:G15"/>
    <mergeCell ref="A16:G16"/>
    <mergeCell ref="A17:G1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76"/>
  <sheetViews>
    <sheetView view="pageBreakPreview" zoomScaleNormal="120" zoomScaleSheetLayoutView="100" zoomScalePageLayoutView="0" workbookViewId="0" topLeftCell="A55">
      <selection activeCell="C71" sqref="C71"/>
    </sheetView>
  </sheetViews>
  <sheetFormatPr defaultColWidth="9.00390625" defaultRowHeight="15"/>
  <cols>
    <col min="1" max="1" width="17.421875" style="22" bestFit="1" customWidth="1"/>
    <col min="2" max="2" width="9.7109375" style="22" bestFit="1" customWidth="1"/>
    <col min="3" max="3" width="11.00390625" style="22" bestFit="1" customWidth="1"/>
    <col min="4" max="4" width="4.7109375" style="22" bestFit="1" customWidth="1"/>
    <col min="5" max="5" width="9.7109375" style="22" bestFit="1" customWidth="1"/>
    <col min="6" max="6" width="11.00390625" style="22" bestFit="1" customWidth="1"/>
    <col min="7" max="7" width="4.7109375" style="22" bestFit="1" customWidth="1"/>
    <col min="8" max="8" width="9.7109375" style="22" bestFit="1" customWidth="1"/>
    <col min="9" max="9" width="11.00390625" style="22" bestFit="1" customWidth="1"/>
    <col min="10" max="10" width="4.7109375" style="22" bestFit="1" customWidth="1"/>
    <col min="11" max="11" width="9.7109375" style="22" bestFit="1" customWidth="1"/>
    <col min="12" max="12" width="12.421875" style="22" bestFit="1" customWidth="1"/>
    <col min="13" max="13" width="4.7109375" style="22" bestFit="1" customWidth="1"/>
    <col min="14" max="14" width="9.00390625" style="22" bestFit="1" customWidth="1"/>
    <col min="15" max="16384" width="9.00390625" style="22" customWidth="1"/>
  </cols>
  <sheetData>
    <row r="1" spans="1:12" s="1" customFormat="1" ht="21">
      <c r="A1" s="210" t="s">
        <v>242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s="1" customFormat="1" ht="21">
      <c r="A2" s="210" t="s">
        <v>46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s="1" customFormat="1" ht="21">
      <c r="A3" s="273" t="s">
        <v>42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5" spans="1:13" ht="21">
      <c r="A5" s="291" t="s">
        <v>35</v>
      </c>
      <c r="B5" s="292" t="s">
        <v>210</v>
      </c>
      <c r="C5" s="293"/>
      <c r="D5" s="294"/>
      <c r="E5" s="292" t="s">
        <v>245</v>
      </c>
      <c r="F5" s="293"/>
      <c r="G5" s="294"/>
      <c r="H5" s="292" t="s">
        <v>246</v>
      </c>
      <c r="I5" s="293"/>
      <c r="J5" s="294"/>
      <c r="K5" s="292" t="s">
        <v>36</v>
      </c>
      <c r="L5" s="293"/>
      <c r="M5" s="294"/>
    </row>
    <row r="6" spans="1:13" ht="21">
      <c r="A6" s="291"/>
      <c r="B6" s="30" t="s">
        <v>2</v>
      </c>
      <c r="C6" s="30" t="s">
        <v>37</v>
      </c>
      <c r="D6" s="30" t="s">
        <v>12</v>
      </c>
      <c r="E6" s="30" t="s">
        <v>2</v>
      </c>
      <c r="F6" s="30" t="s">
        <v>37</v>
      </c>
      <c r="G6" s="30" t="s">
        <v>12</v>
      </c>
      <c r="H6" s="30" t="s">
        <v>2</v>
      </c>
      <c r="I6" s="30" t="s">
        <v>37</v>
      </c>
      <c r="J6" s="30" t="s">
        <v>12</v>
      </c>
      <c r="K6" s="30" t="s">
        <v>2</v>
      </c>
      <c r="L6" s="30" t="s">
        <v>37</v>
      </c>
      <c r="M6" s="30" t="s">
        <v>12</v>
      </c>
    </row>
    <row r="7" spans="1:13" ht="21">
      <c r="A7" s="295" t="s">
        <v>39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7"/>
    </row>
    <row r="8" spans="1:13" ht="21">
      <c r="A8" s="27" t="s">
        <v>198</v>
      </c>
      <c r="B8" s="23"/>
      <c r="C8" s="24"/>
      <c r="D8" s="24"/>
      <c r="E8" s="23"/>
      <c r="F8" s="25"/>
      <c r="G8" s="24"/>
      <c r="H8" s="23"/>
      <c r="I8" s="25"/>
      <c r="J8" s="24"/>
      <c r="K8" s="24">
        <f aca="true" t="shared" si="0" ref="K8:M10">+B8+E8+H8</f>
        <v>0</v>
      </c>
      <c r="L8" s="24">
        <f t="shared" si="0"/>
        <v>0</v>
      </c>
      <c r="M8" s="24">
        <f t="shared" si="0"/>
        <v>0</v>
      </c>
    </row>
    <row r="9" spans="1:13" ht="21">
      <c r="A9" s="27" t="s">
        <v>206</v>
      </c>
      <c r="B9" s="25"/>
      <c r="C9" s="25"/>
      <c r="D9" s="25"/>
      <c r="E9" s="25"/>
      <c r="F9" s="25"/>
      <c r="G9" s="24"/>
      <c r="H9" s="25"/>
      <c r="I9" s="24"/>
      <c r="J9" s="24"/>
      <c r="K9" s="24">
        <f t="shared" si="0"/>
        <v>0</v>
      </c>
      <c r="L9" s="24">
        <f t="shared" si="0"/>
        <v>0</v>
      </c>
      <c r="M9" s="24">
        <f t="shared" si="0"/>
        <v>0</v>
      </c>
    </row>
    <row r="10" spans="1:13" ht="21">
      <c r="A10" s="27" t="s">
        <v>211</v>
      </c>
      <c r="B10" s="25"/>
      <c r="C10" s="25"/>
      <c r="D10" s="24"/>
      <c r="E10" s="25"/>
      <c r="F10" s="24"/>
      <c r="G10" s="24"/>
      <c r="H10" s="25"/>
      <c r="I10" s="25"/>
      <c r="J10" s="24"/>
      <c r="K10" s="24">
        <f t="shared" si="0"/>
        <v>0</v>
      </c>
      <c r="L10" s="24">
        <f t="shared" si="0"/>
        <v>0</v>
      </c>
      <c r="M10" s="24">
        <f t="shared" si="0"/>
        <v>0</v>
      </c>
    </row>
    <row r="11" spans="1:13" ht="21">
      <c r="A11" s="27" t="s">
        <v>247</v>
      </c>
      <c r="B11" s="25"/>
      <c r="C11" s="25"/>
      <c r="D11" s="24"/>
      <c r="E11" s="25"/>
      <c r="F11" s="24"/>
      <c r="G11" s="24"/>
      <c r="H11" s="25"/>
      <c r="I11" s="25"/>
      <c r="J11" s="24"/>
      <c r="K11" s="24">
        <f>+B11+E11+H11</f>
        <v>0</v>
      </c>
      <c r="L11" s="24">
        <f>+C11+F11+I11</f>
        <v>0</v>
      </c>
      <c r="M11" s="24">
        <f>+D11+G11+J11</f>
        <v>0</v>
      </c>
    </row>
    <row r="12" spans="1:13" ht="21">
      <c r="A12" s="28" t="s">
        <v>38</v>
      </c>
      <c r="B12" s="29">
        <f>SUM(B8:B10)</f>
        <v>0</v>
      </c>
      <c r="C12" s="29">
        <f aca="true" t="shared" si="1" ref="C12:M12">SUM(C8:C10)</f>
        <v>0</v>
      </c>
      <c r="D12" s="29">
        <f t="shared" si="1"/>
        <v>0</v>
      </c>
      <c r="E12" s="29">
        <f t="shared" si="1"/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0</v>
      </c>
      <c r="M12" s="29">
        <f t="shared" si="1"/>
        <v>0</v>
      </c>
    </row>
    <row r="13" spans="1:13" ht="21">
      <c r="A13" s="298" t="s">
        <v>40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</row>
    <row r="14" spans="1:13" ht="21">
      <c r="A14" s="27" t="s">
        <v>198</v>
      </c>
      <c r="B14" s="23"/>
      <c r="C14" s="24"/>
      <c r="D14" s="24"/>
      <c r="E14" s="23"/>
      <c r="F14" s="25"/>
      <c r="G14" s="24"/>
      <c r="H14" s="23"/>
      <c r="I14" s="25"/>
      <c r="J14" s="24"/>
      <c r="K14" s="24">
        <f aca="true" t="shared" si="2" ref="K14:M17">+B14+E14+H14</f>
        <v>0</v>
      </c>
      <c r="L14" s="24">
        <f t="shared" si="2"/>
        <v>0</v>
      </c>
      <c r="M14" s="24">
        <f t="shared" si="2"/>
        <v>0</v>
      </c>
    </row>
    <row r="15" spans="1:13" ht="21">
      <c r="A15" s="27" t="s">
        <v>206</v>
      </c>
      <c r="B15" s="25"/>
      <c r="C15" s="25"/>
      <c r="D15" s="25"/>
      <c r="E15" s="25"/>
      <c r="F15" s="25"/>
      <c r="G15" s="24"/>
      <c r="H15" s="25"/>
      <c r="I15" s="24"/>
      <c r="J15" s="24"/>
      <c r="K15" s="24">
        <f t="shared" si="2"/>
        <v>0</v>
      </c>
      <c r="L15" s="24">
        <f t="shared" si="2"/>
        <v>0</v>
      </c>
      <c r="M15" s="24">
        <f t="shared" si="2"/>
        <v>0</v>
      </c>
    </row>
    <row r="16" spans="1:13" ht="21">
      <c r="A16" s="27" t="s">
        <v>211</v>
      </c>
      <c r="B16" s="25"/>
      <c r="C16" s="25"/>
      <c r="D16" s="24"/>
      <c r="E16" s="25"/>
      <c r="F16" s="24"/>
      <c r="G16" s="24"/>
      <c r="H16" s="25"/>
      <c r="I16" s="25"/>
      <c r="J16" s="24"/>
      <c r="K16" s="24">
        <f t="shared" si="2"/>
        <v>0</v>
      </c>
      <c r="L16" s="24">
        <f t="shared" si="2"/>
        <v>0</v>
      </c>
      <c r="M16" s="24">
        <f t="shared" si="2"/>
        <v>0</v>
      </c>
    </row>
    <row r="17" spans="1:13" ht="21">
      <c r="A17" s="27" t="s">
        <v>247</v>
      </c>
      <c r="B17" s="25"/>
      <c r="C17" s="25"/>
      <c r="D17" s="24"/>
      <c r="E17" s="25"/>
      <c r="F17" s="24"/>
      <c r="G17" s="24"/>
      <c r="H17" s="25"/>
      <c r="I17" s="25"/>
      <c r="J17" s="24"/>
      <c r="K17" s="24">
        <f t="shared" si="2"/>
        <v>0</v>
      </c>
      <c r="L17" s="24">
        <f t="shared" si="2"/>
        <v>0</v>
      </c>
      <c r="M17" s="24">
        <f t="shared" si="2"/>
        <v>0</v>
      </c>
    </row>
    <row r="18" spans="1:13" ht="21">
      <c r="A18" s="28" t="s">
        <v>38</v>
      </c>
      <c r="B18" s="29">
        <f aca="true" t="shared" si="3" ref="B18:M18">SUM(B14:B16)</f>
        <v>0</v>
      </c>
      <c r="C18" s="29">
        <f t="shared" si="3"/>
        <v>0</v>
      </c>
      <c r="D18" s="29">
        <f t="shared" si="3"/>
        <v>0</v>
      </c>
      <c r="E18" s="29">
        <f t="shared" si="3"/>
        <v>0</v>
      </c>
      <c r="F18" s="29">
        <f t="shared" si="3"/>
        <v>0</v>
      </c>
      <c r="G18" s="29">
        <f t="shared" si="3"/>
        <v>0</v>
      </c>
      <c r="H18" s="29">
        <f t="shared" si="3"/>
        <v>0</v>
      </c>
      <c r="I18" s="29">
        <f t="shared" si="3"/>
        <v>0</v>
      </c>
      <c r="J18" s="29">
        <f t="shared" si="3"/>
        <v>0</v>
      </c>
      <c r="K18" s="29">
        <f t="shared" si="3"/>
        <v>0</v>
      </c>
      <c r="L18" s="29">
        <f t="shared" si="3"/>
        <v>0</v>
      </c>
      <c r="M18" s="29">
        <f t="shared" si="3"/>
        <v>0</v>
      </c>
    </row>
    <row r="19" spans="1:13" ht="21">
      <c r="A19" s="278" t="s">
        <v>47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80"/>
    </row>
    <row r="20" spans="1:13" ht="21">
      <c r="A20" s="27" t="s">
        <v>198</v>
      </c>
      <c r="B20" s="23"/>
      <c r="C20" s="24"/>
      <c r="D20" s="24"/>
      <c r="E20" s="23"/>
      <c r="F20" s="25"/>
      <c r="G20" s="24"/>
      <c r="H20" s="23"/>
      <c r="I20" s="25"/>
      <c r="J20" s="24"/>
      <c r="K20" s="24">
        <f aca="true" t="shared" si="4" ref="K20:M23">+B20+E20+H20</f>
        <v>0</v>
      </c>
      <c r="L20" s="24">
        <f t="shared" si="4"/>
        <v>0</v>
      </c>
      <c r="M20" s="24">
        <f t="shared" si="4"/>
        <v>0</v>
      </c>
    </row>
    <row r="21" spans="1:13" ht="21">
      <c r="A21" s="27" t="s">
        <v>206</v>
      </c>
      <c r="B21" s="25"/>
      <c r="C21" s="25"/>
      <c r="D21" s="25"/>
      <c r="E21" s="25"/>
      <c r="F21" s="25"/>
      <c r="G21" s="24"/>
      <c r="H21" s="25"/>
      <c r="I21" s="24"/>
      <c r="J21" s="24"/>
      <c r="K21" s="24">
        <f t="shared" si="4"/>
        <v>0</v>
      </c>
      <c r="L21" s="24">
        <f t="shared" si="4"/>
        <v>0</v>
      </c>
      <c r="M21" s="24">
        <f t="shared" si="4"/>
        <v>0</v>
      </c>
    </row>
    <row r="22" spans="1:13" ht="21">
      <c r="A22" s="27" t="s">
        <v>211</v>
      </c>
      <c r="B22" s="25"/>
      <c r="C22" s="25"/>
      <c r="D22" s="24"/>
      <c r="E22" s="25"/>
      <c r="F22" s="24"/>
      <c r="G22" s="24"/>
      <c r="H22" s="25"/>
      <c r="I22" s="25"/>
      <c r="J22" s="24"/>
      <c r="K22" s="24">
        <f t="shared" si="4"/>
        <v>0</v>
      </c>
      <c r="L22" s="24">
        <f t="shared" si="4"/>
        <v>0</v>
      </c>
      <c r="M22" s="24">
        <f t="shared" si="4"/>
        <v>0</v>
      </c>
    </row>
    <row r="23" spans="1:13" ht="21">
      <c r="A23" s="27" t="s">
        <v>247</v>
      </c>
      <c r="B23" s="25"/>
      <c r="C23" s="25"/>
      <c r="D23" s="24"/>
      <c r="E23" s="25"/>
      <c r="F23" s="24"/>
      <c r="G23" s="24"/>
      <c r="H23" s="25"/>
      <c r="I23" s="25"/>
      <c r="J23" s="24"/>
      <c r="K23" s="24">
        <f t="shared" si="4"/>
        <v>0</v>
      </c>
      <c r="L23" s="24">
        <f t="shared" si="4"/>
        <v>0</v>
      </c>
      <c r="M23" s="24">
        <f t="shared" si="4"/>
        <v>0</v>
      </c>
    </row>
    <row r="24" spans="1:13" ht="21">
      <c r="A24" s="28" t="s">
        <v>38</v>
      </c>
      <c r="B24" s="29">
        <f aca="true" t="shared" si="5" ref="B24:M24">SUM(B20:B22)</f>
        <v>0</v>
      </c>
      <c r="C24" s="29">
        <f t="shared" si="5"/>
        <v>0</v>
      </c>
      <c r="D24" s="29">
        <f t="shared" si="5"/>
        <v>0</v>
      </c>
      <c r="E24" s="29">
        <f t="shared" si="5"/>
        <v>0</v>
      </c>
      <c r="F24" s="29">
        <f t="shared" si="5"/>
        <v>0</v>
      </c>
      <c r="G24" s="29">
        <f t="shared" si="5"/>
        <v>0</v>
      </c>
      <c r="H24" s="29">
        <f t="shared" si="5"/>
        <v>0</v>
      </c>
      <c r="I24" s="29">
        <f t="shared" si="5"/>
        <v>0</v>
      </c>
      <c r="J24" s="29">
        <f t="shared" si="5"/>
        <v>0</v>
      </c>
      <c r="K24" s="29">
        <f t="shared" si="5"/>
        <v>0</v>
      </c>
      <c r="L24" s="29">
        <f t="shared" si="5"/>
        <v>0</v>
      </c>
      <c r="M24" s="29">
        <f t="shared" si="5"/>
        <v>0</v>
      </c>
    </row>
    <row r="25" spans="1:13" ht="21">
      <c r="A25" s="278" t="s">
        <v>48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80"/>
    </row>
    <row r="26" spans="1:13" ht="21">
      <c r="A26" s="27" t="s">
        <v>198</v>
      </c>
      <c r="B26" s="23"/>
      <c r="C26" s="24"/>
      <c r="D26" s="24"/>
      <c r="E26" s="23"/>
      <c r="F26" s="25"/>
      <c r="G26" s="24"/>
      <c r="H26" s="23"/>
      <c r="I26" s="25"/>
      <c r="J26" s="24"/>
      <c r="K26" s="24">
        <f aca="true" t="shared" si="6" ref="K26:M29">+B26+E26+H26</f>
        <v>0</v>
      </c>
      <c r="L26" s="24">
        <f t="shared" si="6"/>
        <v>0</v>
      </c>
      <c r="M26" s="24">
        <f t="shared" si="6"/>
        <v>0</v>
      </c>
    </row>
    <row r="27" spans="1:13" ht="21">
      <c r="A27" s="27" t="s">
        <v>206</v>
      </c>
      <c r="B27" s="25"/>
      <c r="C27" s="25"/>
      <c r="D27" s="25"/>
      <c r="E27" s="25"/>
      <c r="F27" s="25"/>
      <c r="G27" s="24"/>
      <c r="H27" s="25"/>
      <c r="I27" s="24"/>
      <c r="J27" s="24"/>
      <c r="K27" s="24">
        <f t="shared" si="6"/>
        <v>0</v>
      </c>
      <c r="L27" s="24">
        <f t="shared" si="6"/>
        <v>0</v>
      </c>
      <c r="M27" s="24">
        <f t="shared" si="6"/>
        <v>0</v>
      </c>
    </row>
    <row r="28" spans="1:13" ht="21">
      <c r="A28" s="27" t="s">
        <v>211</v>
      </c>
      <c r="B28" s="25"/>
      <c r="C28" s="25"/>
      <c r="D28" s="24"/>
      <c r="E28" s="25"/>
      <c r="F28" s="24"/>
      <c r="G28" s="24"/>
      <c r="H28" s="25"/>
      <c r="I28" s="25"/>
      <c r="J28" s="24"/>
      <c r="K28" s="24">
        <f t="shared" si="6"/>
        <v>0</v>
      </c>
      <c r="L28" s="24">
        <f t="shared" si="6"/>
        <v>0</v>
      </c>
      <c r="M28" s="24">
        <f t="shared" si="6"/>
        <v>0</v>
      </c>
    </row>
    <row r="29" spans="1:13" ht="21">
      <c r="A29" s="27" t="s">
        <v>247</v>
      </c>
      <c r="B29" s="25"/>
      <c r="C29" s="25"/>
      <c r="D29" s="24"/>
      <c r="E29" s="25"/>
      <c r="F29" s="24"/>
      <c r="G29" s="24"/>
      <c r="H29" s="25"/>
      <c r="I29" s="25"/>
      <c r="J29" s="24"/>
      <c r="K29" s="24">
        <f t="shared" si="6"/>
        <v>0</v>
      </c>
      <c r="L29" s="24">
        <f t="shared" si="6"/>
        <v>0</v>
      </c>
      <c r="M29" s="24">
        <f t="shared" si="6"/>
        <v>0</v>
      </c>
    </row>
    <row r="30" spans="1:13" ht="21">
      <c r="A30" s="28" t="s">
        <v>38</v>
      </c>
      <c r="B30" s="29">
        <f aca="true" t="shared" si="7" ref="B30:M30">SUM(B26:B28)</f>
        <v>0</v>
      </c>
      <c r="C30" s="29">
        <f t="shared" si="7"/>
        <v>0</v>
      </c>
      <c r="D30" s="29">
        <f t="shared" si="7"/>
        <v>0</v>
      </c>
      <c r="E30" s="29">
        <f t="shared" si="7"/>
        <v>0</v>
      </c>
      <c r="F30" s="29">
        <f t="shared" si="7"/>
        <v>0</v>
      </c>
      <c r="G30" s="29">
        <f t="shared" si="7"/>
        <v>0</v>
      </c>
      <c r="H30" s="29">
        <f t="shared" si="7"/>
        <v>0</v>
      </c>
      <c r="I30" s="29">
        <f t="shared" si="7"/>
        <v>0</v>
      </c>
      <c r="J30" s="29">
        <f t="shared" si="7"/>
        <v>0</v>
      </c>
      <c r="K30" s="29">
        <f t="shared" si="7"/>
        <v>0</v>
      </c>
      <c r="L30" s="29">
        <f t="shared" si="7"/>
        <v>0</v>
      </c>
      <c r="M30" s="29">
        <f t="shared" si="7"/>
        <v>0</v>
      </c>
    </row>
    <row r="31" spans="1:13" ht="21">
      <c r="A31" s="278" t="s">
        <v>41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80"/>
    </row>
    <row r="32" spans="1:13" ht="21">
      <c r="A32" s="27" t="s">
        <v>198</v>
      </c>
      <c r="B32" s="23"/>
      <c r="C32" s="24"/>
      <c r="D32" s="24"/>
      <c r="E32" s="23"/>
      <c r="F32" s="25"/>
      <c r="G32" s="24"/>
      <c r="H32" s="23"/>
      <c r="I32" s="25"/>
      <c r="J32" s="24"/>
      <c r="K32" s="24">
        <f aca="true" t="shared" si="8" ref="K32:M35">+B32+E32+H32</f>
        <v>0</v>
      </c>
      <c r="L32" s="24">
        <f t="shared" si="8"/>
        <v>0</v>
      </c>
      <c r="M32" s="24">
        <f t="shared" si="8"/>
        <v>0</v>
      </c>
    </row>
    <row r="33" spans="1:13" ht="21">
      <c r="A33" s="27" t="s">
        <v>206</v>
      </c>
      <c r="B33" s="25"/>
      <c r="C33" s="25"/>
      <c r="D33" s="25"/>
      <c r="E33" s="25"/>
      <c r="F33" s="25"/>
      <c r="G33" s="24"/>
      <c r="H33" s="25"/>
      <c r="I33" s="24"/>
      <c r="J33" s="24"/>
      <c r="K33" s="24">
        <f t="shared" si="8"/>
        <v>0</v>
      </c>
      <c r="L33" s="24">
        <f t="shared" si="8"/>
        <v>0</v>
      </c>
      <c r="M33" s="24">
        <f t="shared" si="8"/>
        <v>0</v>
      </c>
    </row>
    <row r="34" spans="1:13" ht="21">
      <c r="A34" s="27" t="s">
        <v>211</v>
      </c>
      <c r="B34" s="25"/>
      <c r="C34" s="25"/>
      <c r="D34" s="24"/>
      <c r="E34" s="25"/>
      <c r="F34" s="24"/>
      <c r="G34" s="24"/>
      <c r="H34" s="25"/>
      <c r="I34" s="25"/>
      <c r="J34" s="24"/>
      <c r="K34" s="24">
        <f t="shared" si="8"/>
        <v>0</v>
      </c>
      <c r="L34" s="24">
        <f t="shared" si="8"/>
        <v>0</v>
      </c>
      <c r="M34" s="24">
        <f t="shared" si="8"/>
        <v>0</v>
      </c>
    </row>
    <row r="35" spans="1:13" ht="21">
      <c r="A35" s="27" t="s">
        <v>247</v>
      </c>
      <c r="B35" s="25"/>
      <c r="C35" s="25"/>
      <c r="D35" s="24"/>
      <c r="E35" s="25"/>
      <c r="F35" s="24"/>
      <c r="G35" s="24"/>
      <c r="H35" s="25"/>
      <c r="I35" s="25"/>
      <c r="J35" s="24"/>
      <c r="K35" s="24">
        <f t="shared" si="8"/>
        <v>0</v>
      </c>
      <c r="L35" s="24">
        <f t="shared" si="8"/>
        <v>0</v>
      </c>
      <c r="M35" s="24">
        <f t="shared" si="8"/>
        <v>0</v>
      </c>
    </row>
    <row r="36" spans="1:13" ht="21">
      <c r="A36" s="28" t="s">
        <v>38</v>
      </c>
      <c r="B36" s="29">
        <f aca="true" t="shared" si="9" ref="B36:M36">SUM(B32:B34)</f>
        <v>0</v>
      </c>
      <c r="C36" s="29">
        <f t="shared" si="9"/>
        <v>0</v>
      </c>
      <c r="D36" s="29">
        <f t="shared" si="9"/>
        <v>0</v>
      </c>
      <c r="E36" s="29">
        <f t="shared" si="9"/>
        <v>0</v>
      </c>
      <c r="F36" s="29">
        <f t="shared" si="9"/>
        <v>0</v>
      </c>
      <c r="G36" s="29">
        <f t="shared" si="9"/>
        <v>0</v>
      </c>
      <c r="H36" s="29">
        <f t="shared" si="9"/>
        <v>0</v>
      </c>
      <c r="I36" s="29">
        <f t="shared" si="9"/>
        <v>0</v>
      </c>
      <c r="J36" s="29">
        <f t="shared" si="9"/>
        <v>0</v>
      </c>
      <c r="K36" s="29">
        <f t="shared" si="9"/>
        <v>0</v>
      </c>
      <c r="L36" s="29">
        <f t="shared" si="9"/>
        <v>0</v>
      </c>
      <c r="M36" s="29">
        <f t="shared" si="9"/>
        <v>0</v>
      </c>
    </row>
    <row r="37" spans="1:13" ht="21">
      <c r="A37" s="283" t="s">
        <v>50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5"/>
    </row>
    <row r="38" spans="1:13" ht="21">
      <c r="A38" s="27" t="s">
        <v>198</v>
      </c>
      <c r="B38" s="24">
        <f aca="true" t="shared" si="10" ref="B38:M38">+B8+B14+B20+B26+B32</f>
        <v>0</v>
      </c>
      <c r="C38" s="24">
        <f t="shared" si="10"/>
        <v>0</v>
      </c>
      <c r="D38" s="24">
        <f t="shared" si="10"/>
        <v>0</v>
      </c>
      <c r="E38" s="24">
        <f t="shared" si="10"/>
        <v>0</v>
      </c>
      <c r="F38" s="24">
        <f t="shared" si="10"/>
        <v>0</v>
      </c>
      <c r="G38" s="24">
        <f t="shared" si="10"/>
        <v>0</v>
      </c>
      <c r="H38" s="24">
        <f t="shared" si="10"/>
        <v>0</v>
      </c>
      <c r="I38" s="24">
        <f t="shared" si="10"/>
        <v>0</v>
      </c>
      <c r="J38" s="24">
        <f t="shared" si="10"/>
        <v>0</v>
      </c>
      <c r="K38" s="24">
        <f t="shared" si="10"/>
        <v>0</v>
      </c>
      <c r="L38" s="24">
        <f t="shared" si="10"/>
        <v>0</v>
      </c>
      <c r="M38" s="24">
        <f t="shared" si="10"/>
        <v>0</v>
      </c>
    </row>
    <row r="39" spans="1:13" ht="21">
      <c r="A39" s="27" t="s">
        <v>206</v>
      </c>
      <c r="B39" s="24">
        <f aca="true" t="shared" si="11" ref="B39:M39">+B9+B15+B21+B27+B33</f>
        <v>0</v>
      </c>
      <c r="C39" s="24">
        <f t="shared" si="11"/>
        <v>0</v>
      </c>
      <c r="D39" s="24">
        <f t="shared" si="11"/>
        <v>0</v>
      </c>
      <c r="E39" s="24">
        <f t="shared" si="11"/>
        <v>0</v>
      </c>
      <c r="F39" s="24">
        <f t="shared" si="11"/>
        <v>0</v>
      </c>
      <c r="G39" s="24">
        <f t="shared" si="11"/>
        <v>0</v>
      </c>
      <c r="H39" s="24">
        <f t="shared" si="11"/>
        <v>0</v>
      </c>
      <c r="I39" s="24">
        <f t="shared" si="11"/>
        <v>0</v>
      </c>
      <c r="J39" s="24">
        <f t="shared" si="11"/>
        <v>0</v>
      </c>
      <c r="K39" s="24">
        <f t="shared" si="11"/>
        <v>0</v>
      </c>
      <c r="L39" s="24">
        <f t="shared" si="11"/>
        <v>0</v>
      </c>
      <c r="M39" s="24">
        <f t="shared" si="11"/>
        <v>0</v>
      </c>
    </row>
    <row r="40" spans="1:13" ht="21">
      <c r="A40" s="27" t="s">
        <v>211</v>
      </c>
      <c r="B40" s="24">
        <f aca="true" t="shared" si="12" ref="B40:M40">+B10+B16+B22+B28+B34</f>
        <v>0</v>
      </c>
      <c r="C40" s="24">
        <f t="shared" si="12"/>
        <v>0</v>
      </c>
      <c r="D40" s="24">
        <f t="shared" si="12"/>
        <v>0</v>
      </c>
      <c r="E40" s="24">
        <f t="shared" si="12"/>
        <v>0</v>
      </c>
      <c r="F40" s="24">
        <f t="shared" si="12"/>
        <v>0</v>
      </c>
      <c r="G40" s="24">
        <f t="shared" si="12"/>
        <v>0</v>
      </c>
      <c r="H40" s="24">
        <f t="shared" si="12"/>
        <v>0</v>
      </c>
      <c r="I40" s="24">
        <f t="shared" si="12"/>
        <v>0</v>
      </c>
      <c r="J40" s="24">
        <f t="shared" si="12"/>
        <v>0</v>
      </c>
      <c r="K40" s="24">
        <f t="shared" si="12"/>
        <v>0</v>
      </c>
      <c r="L40" s="24">
        <f t="shared" si="12"/>
        <v>0</v>
      </c>
      <c r="M40" s="24">
        <f t="shared" si="12"/>
        <v>0</v>
      </c>
    </row>
    <row r="41" spans="1:13" ht="21">
      <c r="A41" s="27" t="s">
        <v>247</v>
      </c>
      <c r="B41" s="25"/>
      <c r="C41" s="25"/>
      <c r="D41" s="24"/>
      <c r="E41" s="25"/>
      <c r="F41" s="24"/>
      <c r="G41" s="24"/>
      <c r="H41" s="25"/>
      <c r="I41" s="25"/>
      <c r="J41" s="24"/>
      <c r="K41" s="24">
        <f>+B41+E41+H41</f>
        <v>0</v>
      </c>
      <c r="L41" s="24">
        <f>+C41+F41+I41</f>
        <v>0</v>
      </c>
      <c r="M41" s="24">
        <f>+D41+G41+J41</f>
        <v>0</v>
      </c>
    </row>
    <row r="42" spans="1:13" ht="21">
      <c r="A42" s="33" t="s">
        <v>38</v>
      </c>
      <c r="B42" s="34">
        <f aca="true" t="shared" si="13" ref="B42:M42">SUM(B38:B40)</f>
        <v>0</v>
      </c>
      <c r="C42" s="34">
        <f t="shared" si="13"/>
        <v>0</v>
      </c>
      <c r="D42" s="34">
        <f t="shared" si="13"/>
        <v>0</v>
      </c>
      <c r="E42" s="34">
        <f t="shared" si="13"/>
        <v>0</v>
      </c>
      <c r="F42" s="34">
        <f t="shared" si="13"/>
        <v>0</v>
      </c>
      <c r="G42" s="34">
        <f t="shared" si="13"/>
        <v>0</v>
      </c>
      <c r="H42" s="34">
        <f t="shared" si="13"/>
        <v>0</v>
      </c>
      <c r="I42" s="34">
        <f t="shared" si="13"/>
        <v>0</v>
      </c>
      <c r="J42" s="34">
        <f t="shared" si="13"/>
        <v>0</v>
      </c>
      <c r="K42" s="34">
        <f t="shared" si="13"/>
        <v>0</v>
      </c>
      <c r="L42" s="34">
        <f t="shared" si="13"/>
        <v>0</v>
      </c>
      <c r="M42" s="34">
        <f t="shared" si="13"/>
        <v>0</v>
      </c>
    </row>
    <row r="43" spans="1:13" ht="21">
      <c r="A43" s="278" t="s">
        <v>49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80"/>
    </row>
    <row r="44" spans="1:13" ht="21">
      <c r="A44" s="27" t="s">
        <v>198</v>
      </c>
      <c r="B44" s="23"/>
      <c r="C44" s="24"/>
      <c r="D44" s="24"/>
      <c r="E44" s="23"/>
      <c r="F44" s="25"/>
      <c r="G44" s="24"/>
      <c r="H44" s="23"/>
      <c r="I44" s="25"/>
      <c r="J44" s="24"/>
      <c r="K44" s="24">
        <f aca="true" t="shared" si="14" ref="K44:M47">+B44+E44+H44</f>
        <v>0</v>
      </c>
      <c r="L44" s="24">
        <f t="shared" si="14"/>
        <v>0</v>
      </c>
      <c r="M44" s="24">
        <f t="shared" si="14"/>
        <v>0</v>
      </c>
    </row>
    <row r="45" spans="1:13" ht="21">
      <c r="A45" s="27" t="s">
        <v>206</v>
      </c>
      <c r="B45" s="25"/>
      <c r="C45" s="25"/>
      <c r="D45" s="25"/>
      <c r="E45" s="25"/>
      <c r="F45" s="25"/>
      <c r="G45" s="24"/>
      <c r="H45" s="25"/>
      <c r="I45" s="24"/>
      <c r="J45" s="24"/>
      <c r="K45" s="24">
        <f t="shared" si="14"/>
        <v>0</v>
      </c>
      <c r="L45" s="24">
        <f t="shared" si="14"/>
        <v>0</v>
      </c>
      <c r="M45" s="24">
        <f t="shared" si="14"/>
        <v>0</v>
      </c>
    </row>
    <row r="46" spans="1:13" ht="21">
      <c r="A46" s="27" t="s">
        <v>211</v>
      </c>
      <c r="B46" s="25"/>
      <c r="C46" s="25"/>
      <c r="D46" s="24"/>
      <c r="E46" s="25"/>
      <c r="F46" s="24"/>
      <c r="G46" s="24"/>
      <c r="H46" s="25"/>
      <c r="I46" s="25"/>
      <c r="J46" s="24"/>
      <c r="K46" s="24">
        <f t="shared" si="14"/>
        <v>0</v>
      </c>
      <c r="L46" s="24">
        <f t="shared" si="14"/>
        <v>0</v>
      </c>
      <c r="M46" s="24">
        <f t="shared" si="14"/>
        <v>0</v>
      </c>
    </row>
    <row r="47" spans="1:13" ht="21">
      <c r="A47" s="27" t="s">
        <v>247</v>
      </c>
      <c r="B47" s="25"/>
      <c r="C47" s="25"/>
      <c r="D47" s="24"/>
      <c r="E47" s="25"/>
      <c r="F47" s="24"/>
      <c r="G47" s="24"/>
      <c r="H47" s="25"/>
      <c r="I47" s="25"/>
      <c r="J47" s="24"/>
      <c r="K47" s="24">
        <f t="shared" si="14"/>
        <v>0</v>
      </c>
      <c r="L47" s="24">
        <f t="shared" si="14"/>
        <v>0</v>
      </c>
      <c r="M47" s="24">
        <f t="shared" si="14"/>
        <v>0</v>
      </c>
    </row>
    <row r="48" spans="1:13" ht="21">
      <c r="A48" s="28" t="s">
        <v>38</v>
      </c>
      <c r="B48" s="29">
        <f aca="true" t="shared" si="15" ref="B48:M48">SUM(B44:B46)</f>
        <v>0</v>
      </c>
      <c r="C48" s="29">
        <f t="shared" si="15"/>
        <v>0</v>
      </c>
      <c r="D48" s="29">
        <f t="shared" si="15"/>
        <v>0</v>
      </c>
      <c r="E48" s="29">
        <f t="shared" si="15"/>
        <v>0</v>
      </c>
      <c r="F48" s="29">
        <f t="shared" si="15"/>
        <v>0</v>
      </c>
      <c r="G48" s="29">
        <f t="shared" si="15"/>
        <v>0</v>
      </c>
      <c r="H48" s="29">
        <f t="shared" si="15"/>
        <v>0</v>
      </c>
      <c r="I48" s="29">
        <f t="shared" si="15"/>
        <v>0</v>
      </c>
      <c r="J48" s="29">
        <f t="shared" si="15"/>
        <v>0</v>
      </c>
      <c r="K48" s="29">
        <f t="shared" si="15"/>
        <v>0</v>
      </c>
      <c r="L48" s="29">
        <f t="shared" si="15"/>
        <v>0</v>
      </c>
      <c r="M48" s="29">
        <f t="shared" si="15"/>
        <v>0</v>
      </c>
    </row>
    <row r="49" spans="1:13" ht="21">
      <c r="A49" s="283" t="s">
        <v>51</v>
      </c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5"/>
    </row>
    <row r="50" spans="1:13" ht="21">
      <c r="A50" s="27" t="s">
        <v>198</v>
      </c>
      <c r="B50" s="25">
        <f>+B43</f>
        <v>0</v>
      </c>
      <c r="C50" s="25">
        <f aca="true" t="shared" si="16" ref="C50:M50">+C43</f>
        <v>0</v>
      </c>
      <c r="D50" s="25">
        <f t="shared" si="16"/>
        <v>0</v>
      </c>
      <c r="E50" s="25">
        <f t="shared" si="16"/>
        <v>0</v>
      </c>
      <c r="F50" s="25">
        <f t="shared" si="16"/>
        <v>0</v>
      </c>
      <c r="G50" s="25">
        <f t="shared" si="16"/>
        <v>0</v>
      </c>
      <c r="H50" s="25">
        <f t="shared" si="16"/>
        <v>0</v>
      </c>
      <c r="I50" s="25">
        <f t="shared" si="16"/>
        <v>0</v>
      </c>
      <c r="J50" s="25">
        <f t="shared" si="16"/>
        <v>0</v>
      </c>
      <c r="K50" s="25">
        <f t="shared" si="16"/>
        <v>0</v>
      </c>
      <c r="L50" s="25">
        <f t="shared" si="16"/>
        <v>0</v>
      </c>
      <c r="M50" s="25">
        <f t="shared" si="16"/>
        <v>0</v>
      </c>
    </row>
    <row r="51" spans="1:13" ht="21">
      <c r="A51" s="27" t="s">
        <v>206</v>
      </c>
      <c r="B51" s="25">
        <f>+B44</f>
        <v>0</v>
      </c>
      <c r="C51" s="25">
        <f aca="true" t="shared" si="17" ref="C51:M51">+C44</f>
        <v>0</v>
      </c>
      <c r="D51" s="25">
        <f t="shared" si="17"/>
        <v>0</v>
      </c>
      <c r="E51" s="25">
        <f t="shared" si="17"/>
        <v>0</v>
      </c>
      <c r="F51" s="25">
        <f t="shared" si="17"/>
        <v>0</v>
      </c>
      <c r="G51" s="25">
        <f t="shared" si="17"/>
        <v>0</v>
      </c>
      <c r="H51" s="25">
        <f t="shared" si="17"/>
        <v>0</v>
      </c>
      <c r="I51" s="25">
        <f t="shared" si="17"/>
        <v>0</v>
      </c>
      <c r="J51" s="25">
        <f t="shared" si="17"/>
        <v>0</v>
      </c>
      <c r="K51" s="25">
        <f t="shared" si="17"/>
        <v>0</v>
      </c>
      <c r="L51" s="25">
        <f t="shared" si="17"/>
        <v>0</v>
      </c>
      <c r="M51" s="25">
        <f t="shared" si="17"/>
        <v>0</v>
      </c>
    </row>
    <row r="52" spans="1:13" ht="21">
      <c r="A52" s="27" t="s">
        <v>211</v>
      </c>
      <c r="B52" s="25">
        <f>+B45</f>
        <v>0</v>
      </c>
      <c r="C52" s="25">
        <f aca="true" t="shared" si="18" ref="C52:M52">+C45</f>
        <v>0</v>
      </c>
      <c r="D52" s="25">
        <f t="shared" si="18"/>
        <v>0</v>
      </c>
      <c r="E52" s="25">
        <f t="shared" si="18"/>
        <v>0</v>
      </c>
      <c r="F52" s="25">
        <f t="shared" si="18"/>
        <v>0</v>
      </c>
      <c r="G52" s="25">
        <f t="shared" si="18"/>
        <v>0</v>
      </c>
      <c r="H52" s="25">
        <f t="shared" si="18"/>
        <v>0</v>
      </c>
      <c r="I52" s="25">
        <f t="shared" si="18"/>
        <v>0</v>
      </c>
      <c r="J52" s="25">
        <f t="shared" si="18"/>
        <v>0</v>
      </c>
      <c r="K52" s="25">
        <f t="shared" si="18"/>
        <v>0</v>
      </c>
      <c r="L52" s="25">
        <f t="shared" si="18"/>
        <v>0</v>
      </c>
      <c r="M52" s="25">
        <f t="shared" si="18"/>
        <v>0</v>
      </c>
    </row>
    <row r="53" spans="1:13" ht="21">
      <c r="A53" s="27" t="s">
        <v>247</v>
      </c>
      <c r="B53" s="25"/>
      <c r="C53" s="25"/>
      <c r="D53" s="24"/>
      <c r="E53" s="25"/>
      <c r="F53" s="24"/>
      <c r="G53" s="24"/>
      <c r="H53" s="25"/>
      <c r="I53" s="25"/>
      <c r="J53" s="24"/>
      <c r="K53" s="24">
        <f>+B53+E53+H53</f>
        <v>0</v>
      </c>
      <c r="L53" s="24">
        <f>+C53+F53+I53</f>
        <v>0</v>
      </c>
      <c r="M53" s="24">
        <f>+D53+G53+J53</f>
        <v>0</v>
      </c>
    </row>
    <row r="54" spans="1:13" ht="21">
      <c r="A54" s="33" t="s">
        <v>38</v>
      </c>
      <c r="B54" s="34">
        <f aca="true" t="shared" si="19" ref="B54:M54">SUM(B50:B52)</f>
        <v>0</v>
      </c>
      <c r="C54" s="34">
        <f t="shared" si="19"/>
        <v>0</v>
      </c>
      <c r="D54" s="34">
        <f t="shared" si="19"/>
        <v>0</v>
      </c>
      <c r="E54" s="34">
        <f t="shared" si="19"/>
        <v>0</v>
      </c>
      <c r="F54" s="34">
        <f t="shared" si="19"/>
        <v>0</v>
      </c>
      <c r="G54" s="34">
        <f t="shared" si="19"/>
        <v>0</v>
      </c>
      <c r="H54" s="34">
        <f t="shared" si="19"/>
        <v>0</v>
      </c>
      <c r="I54" s="34">
        <f t="shared" si="19"/>
        <v>0</v>
      </c>
      <c r="J54" s="34">
        <f t="shared" si="19"/>
        <v>0</v>
      </c>
      <c r="K54" s="34">
        <f t="shared" si="19"/>
        <v>0</v>
      </c>
      <c r="L54" s="34">
        <f t="shared" si="19"/>
        <v>0</v>
      </c>
      <c r="M54" s="34">
        <f t="shared" si="19"/>
        <v>0</v>
      </c>
    </row>
    <row r="55" spans="1:13" ht="21">
      <c r="A55" s="286" t="s">
        <v>52</v>
      </c>
      <c r="B55" s="287"/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8"/>
    </row>
    <row r="56" spans="1:13" ht="21">
      <c r="A56" s="27" t="s">
        <v>198</v>
      </c>
      <c r="B56" s="24">
        <f>+B38+B50</f>
        <v>0</v>
      </c>
      <c r="C56" s="24">
        <f aca="true" t="shared" si="20" ref="C56:M56">+C38+C50</f>
        <v>0</v>
      </c>
      <c r="D56" s="24">
        <f t="shared" si="20"/>
        <v>0</v>
      </c>
      <c r="E56" s="24">
        <f t="shared" si="20"/>
        <v>0</v>
      </c>
      <c r="F56" s="24">
        <f t="shared" si="20"/>
        <v>0</v>
      </c>
      <c r="G56" s="24">
        <f t="shared" si="20"/>
        <v>0</v>
      </c>
      <c r="H56" s="24">
        <f t="shared" si="20"/>
        <v>0</v>
      </c>
      <c r="I56" s="24">
        <f t="shared" si="20"/>
        <v>0</v>
      </c>
      <c r="J56" s="24">
        <f t="shared" si="20"/>
        <v>0</v>
      </c>
      <c r="K56" s="24">
        <f>+K38+K50</f>
        <v>0</v>
      </c>
      <c r="L56" s="24">
        <f t="shared" si="20"/>
        <v>0</v>
      </c>
      <c r="M56" s="24">
        <f t="shared" si="20"/>
        <v>0</v>
      </c>
    </row>
    <row r="57" spans="1:13" ht="21">
      <c r="A57" s="27" t="s">
        <v>206</v>
      </c>
      <c r="B57" s="24">
        <f>+B39+B51</f>
        <v>0</v>
      </c>
      <c r="C57" s="24">
        <f aca="true" t="shared" si="21" ref="C57:M57">+C39+C51</f>
        <v>0</v>
      </c>
      <c r="D57" s="24">
        <f t="shared" si="21"/>
        <v>0</v>
      </c>
      <c r="E57" s="24">
        <f t="shared" si="21"/>
        <v>0</v>
      </c>
      <c r="F57" s="24">
        <f t="shared" si="21"/>
        <v>0</v>
      </c>
      <c r="G57" s="24">
        <f t="shared" si="21"/>
        <v>0</v>
      </c>
      <c r="H57" s="24">
        <f t="shared" si="21"/>
        <v>0</v>
      </c>
      <c r="I57" s="24">
        <f t="shared" si="21"/>
        <v>0</v>
      </c>
      <c r="J57" s="24">
        <f t="shared" si="21"/>
        <v>0</v>
      </c>
      <c r="K57" s="24">
        <f t="shared" si="21"/>
        <v>0</v>
      </c>
      <c r="L57" s="24">
        <f t="shared" si="21"/>
        <v>0</v>
      </c>
      <c r="M57" s="24">
        <f t="shared" si="21"/>
        <v>0</v>
      </c>
    </row>
    <row r="58" spans="1:13" ht="21">
      <c r="A58" s="27" t="s">
        <v>211</v>
      </c>
      <c r="B58" s="24">
        <f>+B40+B52</f>
        <v>0</v>
      </c>
      <c r="C58" s="24">
        <f aca="true" t="shared" si="22" ref="C58:M58">+C40+C52</f>
        <v>0</v>
      </c>
      <c r="D58" s="24">
        <f t="shared" si="22"/>
        <v>0</v>
      </c>
      <c r="E58" s="24">
        <f t="shared" si="22"/>
        <v>0</v>
      </c>
      <c r="F58" s="24">
        <f t="shared" si="22"/>
        <v>0</v>
      </c>
      <c r="G58" s="24">
        <f t="shared" si="22"/>
        <v>0</v>
      </c>
      <c r="H58" s="24">
        <f t="shared" si="22"/>
        <v>0</v>
      </c>
      <c r="I58" s="24">
        <f t="shared" si="22"/>
        <v>0</v>
      </c>
      <c r="J58" s="24">
        <f t="shared" si="22"/>
        <v>0</v>
      </c>
      <c r="K58" s="24">
        <f t="shared" si="22"/>
        <v>0</v>
      </c>
      <c r="L58" s="24">
        <f t="shared" si="22"/>
        <v>0</v>
      </c>
      <c r="M58" s="24">
        <f t="shared" si="22"/>
        <v>0</v>
      </c>
    </row>
    <row r="59" spans="1:13" ht="21">
      <c r="A59" s="27" t="s">
        <v>247</v>
      </c>
      <c r="B59" s="25"/>
      <c r="C59" s="25"/>
      <c r="D59" s="24"/>
      <c r="E59" s="25"/>
      <c r="F59" s="24"/>
      <c r="G59" s="24"/>
      <c r="H59" s="25"/>
      <c r="I59" s="25"/>
      <c r="J59" s="24"/>
      <c r="K59" s="24">
        <f>+B59+E59+H59</f>
        <v>0</v>
      </c>
      <c r="L59" s="24">
        <f>+C59+F59+I59</f>
        <v>0</v>
      </c>
      <c r="M59" s="24">
        <f>+D59+G59+J59</f>
        <v>0</v>
      </c>
    </row>
    <row r="60" spans="1:13" ht="21">
      <c r="A60" s="28" t="s">
        <v>38</v>
      </c>
      <c r="B60" s="29">
        <f aca="true" t="shared" si="23" ref="B60:M60">SUM(B56:B58)</f>
        <v>0</v>
      </c>
      <c r="C60" s="29">
        <f t="shared" si="23"/>
        <v>0</v>
      </c>
      <c r="D60" s="29">
        <f t="shared" si="23"/>
        <v>0</v>
      </c>
      <c r="E60" s="29">
        <f t="shared" si="23"/>
        <v>0</v>
      </c>
      <c r="F60" s="29">
        <f t="shared" si="23"/>
        <v>0</v>
      </c>
      <c r="G60" s="29">
        <f t="shared" si="23"/>
        <v>0</v>
      </c>
      <c r="H60" s="29">
        <f t="shared" si="23"/>
        <v>0</v>
      </c>
      <c r="I60" s="29">
        <f t="shared" si="23"/>
        <v>0</v>
      </c>
      <c r="J60" s="29">
        <f t="shared" si="23"/>
        <v>0</v>
      </c>
      <c r="K60" s="29">
        <f t="shared" si="23"/>
        <v>0</v>
      </c>
      <c r="L60" s="29">
        <f t="shared" si="23"/>
        <v>0</v>
      </c>
      <c r="M60" s="29">
        <f t="shared" si="23"/>
        <v>0</v>
      </c>
    </row>
    <row r="61" spans="1:13" s="32" customFormat="1" ht="2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1:13" s="15" customFormat="1" ht="21">
      <c r="A62" s="268" t="s">
        <v>33</v>
      </c>
      <c r="B62" s="268"/>
      <c r="C62" s="268"/>
      <c r="D62" s="36">
        <f>+D60</f>
        <v>0</v>
      </c>
      <c r="E62" s="281"/>
      <c r="F62" s="281"/>
      <c r="G62" s="36">
        <f>+G60</f>
        <v>0</v>
      </c>
      <c r="H62" s="282"/>
      <c r="I62" s="282"/>
      <c r="J62" s="38">
        <f>+J60</f>
        <v>0</v>
      </c>
      <c r="K62" s="282"/>
      <c r="L62" s="282"/>
      <c r="M62" s="39">
        <f>+M60</f>
        <v>0</v>
      </c>
    </row>
    <row r="63" spans="1:13" s="15" customFormat="1" ht="21">
      <c r="A63" s="289" t="s">
        <v>13</v>
      </c>
      <c r="B63" s="289"/>
      <c r="C63" s="289"/>
      <c r="D63" s="37">
        <f>D62*20%</f>
        <v>0</v>
      </c>
      <c r="E63" s="275"/>
      <c r="F63" s="275"/>
      <c r="G63" s="37">
        <f>G62*20%</f>
        <v>0</v>
      </c>
      <c r="H63" s="276"/>
      <c r="I63" s="276"/>
      <c r="J63" s="37">
        <f>J62*20%</f>
        <v>0</v>
      </c>
      <c r="K63" s="276"/>
      <c r="L63" s="276"/>
      <c r="M63" s="37">
        <f>M62*20%</f>
        <v>0</v>
      </c>
    </row>
    <row r="64" spans="1:13" s="15" customFormat="1" ht="21">
      <c r="A64" s="289" t="s">
        <v>14</v>
      </c>
      <c r="B64" s="289"/>
      <c r="C64" s="289"/>
      <c r="D64" s="37">
        <f>D62*10%</f>
        <v>0</v>
      </c>
      <c r="E64" s="275"/>
      <c r="F64" s="275"/>
      <c r="G64" s="37">
        <f>G62*10%</f>
        <v>0</v>
      </c>
      <c r="H64" s="276"/>
      <c r="I64" s="276"/>
      <c r="J64" s="37">
        <f>J62*10%</f>
        <v>0</v>
      </c>
      <c r="K64" s="276"/>
      <c r="L64" s="276"/>
      <c r="M64" s="37">
        <f>M62*10%</f>
        <v>0</v>
      </c>
    </row>
    <row r="65" spans="1:13" s="15" customFormat="1" ht="21">
      <c r="A65" s="277" t="s">
        <v>15</v>
      </c>
      <c r="B65" s="277"/>
      <c r="C65" s="277"/>
      <c r="D65" s="37">
        <f>D62*70%</f>
        <v>0</v>
      </c>
      <c r="E65" s="275"/>
      <c r="F65" s="275"/>
      <c r="G65" s="37">
        <f>G62*70%</f>
        <v>0</v>
      </c>
      <c r="H65" s="276"/>
      <c r="I65" s="276"/>
      <c r="J65" s="37">
        <f>J62*70%</f>
        <v>0</v>
      </c>
      <c r="K65" s="276"/>
      <c r="L65" s="276"/>
      <c r="M65" s="37">
        <f>M62*70%</f>
        <v>0</v>
      </c>
    </row>
    <row r="66" spans="1:13" s="32" customFormat="1" ht="21">
      <c r="A66" s="245" t="s">
        <v>16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</row>
    <row r="67" ht="21">
      <c r="E67" s="26"/>
    </row>
    <row r="68" ht="21">
      <c r="D68" s="26"/>
    </row>
    <row r="69" ht="21">
      <c r="D69" s="26"/>
    </row>
    <row r="76" ht="21">
      <c r="D76" s="26"/>
    </row>
  </sheetData>
  <sheetProtection/>
  <mergeCells count="34">
    <mergeCell ref="E5:G5"/>
    <mergeCell ref="H5:J5"/>
    <mergeCell ref="K5:M5"/>
    <mergeCell ref="A7:M7"/>
    <mergeCell ref="A13:M13"/>
    <mergeCell ref="A19:M19"/>
    <mergeCell ref="A63:C63"/>
    <mergeCell ref="A64:C64"/>
    <mergeCell ref="A1:L1"/>
    <mergeCell ref="A2:L2"/>
    <mergeCell ref="A3:L3"/>
    <mergeCell ref="A5:A6"/>
    <mergeCell ref="A25:M25"/>
    <mergeCell ref="A37:M37"/>
    <mergeCell ref="A31:M31"/>
    <mergeCell ref="B5:D5"/>
    <mergeCell ref="A43:M43"/>
    <mergeCell ref="E62:F62"/>
    <mergeCell ref="H62:I62"/>
    <mergeCell ref="K62:L62"/>
    <mergeCell ref="E63:F63"/>
    <mergeCell ref="H63:I63"/>
    <mergeCell ref="K63:L63"/>
    <mergeCell ref="A49:M49"/>
    <mergeCell ref="A55:M55"/>
    <mergeCell ref="A62:C62"/>
    <mergeCell ref="A66:M66"/>
    <mergeCell ref="E64:F64"/>
    <mergeCell ref="H64:I64"/>
    <mergeCell ref="K64:L64"/>
    <mergeCell ref="E65:F65"/>
    <mergeCell ref="H65:I65"/>
    <mergeCell ref="K65:L65"/>
    <mergeCell ref="A65:C65"/>
  </mergeCells>
  <printOptions horizontalCentered="1"/>
  <pageMargins left="0.31496062992126" right="0.31496062992126" top="0.94488188976378" bottom="0.25" header="0.31496062992126" footer="0.31496062992126"/>
  <pageSetup fitToHeight="0" fitToWidth="1" horizontalDpi="600" verticalDpi="600" orientation="landscape" paperSize="9" r:id="rId1"/>
  <rowBreaks count="3" manualBreakCount="3">
    <brk id="18" max="255" man="1"/>
    <brk id="36" max="255" man="1"/>
    <brk id="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0"/>
  <sheetViews>
    <sheetView view="pageBreakPreview" zoomScale="95" zoomScaleSheetLayoutView="95" zoomScalePageLayoutView="0" workbookViewId="0" topLeftCell="A1">
      <selection activeCell="A5" sqref="A5:A6"/>
    </sheetView>
  </sheetViews>
  <sheetFormatPr defaultColWidth="9.00390625" defaultRowHeight="15"/>
  <cols>
    <col min="1" max="1" width="28.140625" style="22" customWidth="1"/>
    <col min="2" max="2" width="9.140625" style="22" bestFit="1" customWidth="1"/>
    <col min="3" max="3" width="10.7109375" style="22" bestFit="1" customWidth="1"/>
    <col min="4" max="4" width="7.421875" style="45" bestFit="1" customWidth="1"/>
    <col min="5" max="5" width="10.421875" style="22" bestFit="1" customWidth="1"/>
    <col min="6" max="7" width="8.57421875" style="22" bestFit="1" customWidth="1"/>
    <col min="8" max="8" width="7.140625" style="22" bestFit="1" customWidth="1"/>
    <col min="9" max="16384" width="9.00390625" style="22" customWidth="1"/>
  </cols>
  <sheetData>
    <row r="1" spans="1:7" s="1" customFormat="1" ht="21">
      <c r="A1" s="210" t="s">
        <v>242</v>
      </c>
      <c r="B1" s="210"/>
      <c r="C1" s="210"/>
      <c r="D1" s="210"/>
      <c r="E1" s="210"/>
      <c r="F1" s="42"/>
      <c r="G1" s="42"/>
    </row>
    <row r="2" spans="1:7" s="1" customFormat="1" ht="21">
      <c r="A2" s="210" t="s">
        <v>88</v>
      </c>
      <c r="B2" s="210"/>
      <c r="C2" s="210"/>
      <c r="D2" s="210"/>
      <c r="E2" s="210"/>
      <c r="F2" s="42"/>
      <c r="G2" s="42"/>
    </row>
    <row r="3" spans="1:7" s="1" customFormat="1" ht="21">
      <c r="A3" s="273" t="s">
        <v>42</v>
      </c>
      <c r="B3" s="273"/>
      <c r="C3" s="273"/>
      <c r="D3" s="273"/>
      <c r="E3" s="273"/>
      <c r="F3" s="43"/>
      <c r="G3" s="43"/>
    </row>
    <row r="5" spans="1:5" ht="21">
      <c r="A5" s="271" t="s">
        <v>54</v>
      </c>
      <c r="B5" s="271" t="s">
        <v>55</v>
      </c>
      <c r="C5" s="274" t="s">
        <v>79</v>
      </c>
      <c r="D5" s="271" t="s">
        <v>80</v>
      </c>
      <c r="E5" s="271" t="s">
        <v>59</v>
      </c>
    </row>
    <row r="6" spans="1:7" ht="21">
      <c r="A6" s="272"/>
      <c r="B6" s="272"/>
      <c r="C6" s="274"/>
      <c r="D6" s="272"/>
      <c r="E6" s="272"/>
      <c r="F6" s="22" t="s">
        <v>202</v>
      </c>
      <c r="G6" s="22" t="s">
        <v>203</v>
      </c>
    </row>
    <row r="7" spans="1:5" ht="21">
      <c r="A7" s="40" t="s">
        <v>86</v>
      </c>
      <c r="B7" s="40"/>
      <c r="C7" s="40"/>
      <c r="D7" s="41"/>
      <c r="E7" s="41"/>
    </row>
    <row r="8" spans="1:5" ht="21">
      <c r="A8" s="40" t="s">
        <v>87</v>
      </c>
      <c r="B8" s="40"/>
      <c r="C8" s="40"/>
      <c r="D8" s="41"/>
      <c r="E8" s="41"/>
    </row>
    <row r="9" spans="1:5" ht="21">
      <c r="A9" s="40" t="s">
        <v>81</v>
      </c>
      <c r="B9" s="40"/>
      <c r="C9" s="40"/>
      <c r="D9" s="41"/>
      <c r="E9" s="41"/>
    </row>
    <row r="10" spans="1:5" ht="21">
      <c r="A10" s="40" t="s">
        <v>84</v>
      </c>
      <c r="B10" s="40"/>
      <c r="C10" s="40"/>
      <c r="D10" s="41"/>
      <c r="E10" s="41"/>
    </row>
    <row r="11" spans="1:5" ht="21">
      <c r="A11" s="40" t="s">
        <v>82</v>
      </c>
      <c r="B11" s="40"/>
      <c r="C11" s="40"/>
      <c r="D11" s="41"/>
      <c r="E11" s="41"/>
    </row>
    <row r="12" spans="1:5" ht="21">
      <c r="A12" s="40" t="s">
        <v>83</v>
      </c>
      <c r="B12" s="40"/>
      <c r="C12" s="40"/>
      <c r="D12" s="41"/>
      <c r="E12" s="41"/>
    </row>
    <row r="13" spans="1:5" ht="21">
      <c r="A13" s="40" t="s">
        <v>85</v>
      </c>
      <c r="B13" s="40"/>
      <c r="C13" s="40"/>
      <c r="D13" s="41"/>
      <c r="E13" s="41"/>
    </row>
    <row r="14" spans="1:5" ht="21" customHeight="1">
      <c r="A14" s="51" t="s">
        <v>12</v>
      </c>
      <c r="B14" s="40"/>
      <c r="C14" s="40"/>
      <c r="D14" s="41">
        <f>SUM(D7:D13)</f>
        <v>0</v>
      </c>
      <c r="E14" s="41">
        <f>SUM(E7:E13)</f>
        <v>0</v>
      </c>
    </row>
    <row r="16" spans="1:5" s="1" customFormat="1" ht="21">
      <c r="A16" s="300" t="s">
        <v>33</v>
      </c>
      <c r="B16" s="301"/>
      <c r="C16" s="301"/>
      <c r="D16" s="302"/>
      <c r="E16" s="46">
        <f>+E14</f>
        <v>0</v>
      </c>
    </row>
    <row r="17" spans="1:5" s="1" customFormat="1" ht="21">
      <c r="A17" s="303" t="s">
        <v>13</v>
      </c>
      <c r="B17" s="304"/>
      <c r="C17" s="304"/>
      <c r="D17" s="305"/>
      <c r="E17" s="47">
        <f>E16*20%</f>
        <v>0</v>
      </c>
    </row>
    <row r="18" spans="1:5" s="1" customFormat="1" ht="21">
      <c r="A18" s="303" t="s">
        <v>14</v>
      </c>
      <c r="B18" s="304"/>
      <c r="C18" s="304"/>
      <c r="D18" s="305"/>
      <c r="E18" s="47">
        <f>E16*10%</f>
        <v>0</v>
      </c>
    </row>
    <row r="19" spans="1:5" s="1" customFormat="1" ht="21">
      <c r="A19" s="306" t="s">
        <v>15</v>
      </c>
      <c r="B19" s="307"/>
      <c r="C19" s="307"/>
      <c r="D19" s="308"/>
      <c r="E19" s="47">
        <f>E16*70%</f>
        <v>0</v>
      </c>
    </row>
    <row r="20" spans="1:10" ht="21">
      <c r="A20" s="245" t="s">
        <v>16</v>
      </c>
      <c r="B20" s="245"/>
      <c r="C20" s="245"/>
      <c r="D20" s="245"/>
      <c r="E20" s="245"/>
      <c r="F20" s="43"/>
      <c r="G20" s="43"/>
      <c r="H20" s="43"/>
      <c r="I20" s="43"/>
      <c r="J20" s="43"/>
    </row>
  </sheetData>
  <sheetProtection/>
  <mergeCells count="13">
    <mergeCell ref="A19:D19"/>
    <mergeCell ref="A20:E20"/>
    <mergeCell ref="A5:A6"/>
    <mergeCell ref="B5:B6"/>
    <mergeCell ref="C5:C6"/>
    <mergeCell ref="E5:E6"/>
    <mergeCell ref="D5:D6"/>
    <mergeCell ref="A1:E1"/>
    <mergeCell ref="A2:E2"/>
    <mergeCell ref="A3:E3"/>
    <mergeCell ref="A16:D16"/>
    <mergeCell ref="A17:D17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4"/>
  <sheetViews>
    <sheetView view="pageBreakPreview" zoomScale="86" zoomScaleSheetLayoutView="86" zoomScalePageLayoutView="0" workbookViewId="0" topLeftCell="A1">
      <selection activeCell="D16" sqref="D16"/>
    </sheetView>
  </sheetViews>
  <sheetFormatPr defaultColWidth="9.00390625" defaultRowHeight="15"/>
  <cols>
    <col min="1" max="1" width="40.421875" style="49" customWidth="1"/>
    <col min="2" max="9" width="11.140625" style="49" customWidth="1"/>
    <col min="10" max="10" width="16.7109375" style="49" customWidth="1"/>
    <col min="11" max="16384" width="9.00390625" style="49" customWidth="1"/>
  </cols>
  <sheetData>
    <row r="1" spans="1:10" ht="28.5" customHeight="1">
      <c r="A1" s="210" t="s">
        <v>207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ht="28.5" customHeight="1">
      <c r="A2" s="210" t="s">
        <v>78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28.5" customHeight="1">
      <c r="A3" s="273" t="s">
        <v>42</v>
      </c>
      <c r="B3" s="273"/>
      <c r="C3" s="273"/>
      <c r="D3" s="273"/>
      <c r="E3" s="273"/>
      <c r="F3" s="273"/>
      <c r="G3" s="273"/>
      <c r="H3" s="273"/>
      <c r="I3" s="273"/>
      <c r="J3" s="273"/>
    </row>
    <row r="4" ht="24"/>
    <row r="5" spans="1:10" ht="24">
      <c r="A5" s="309" t="s">
        <v>89</v>
      </c>
      <c r="B5" s="309" t="s">
        <v>90</v>
      </c>
      <c r="C5" s="309"/>
      <c r="D5" s="309"/>
      <c r="E5" s="52" t="s">
        <v>91</v>
      </c>
      <c r="F5" s="52" t="s">
        <v>92</v>
      </c>
      <c r="G5" s="309" t="s">
        <v>93</v>
      </c>
      <c r="H5" s="309"/>
      <c r="I5" s="309"/>
      <c r="J5" s="310" t="s">
        <v>94</v>
      </c>
    </row>
    <row r="6" spans="1:10" ht="24">
      <c r="A6" s="309"/>
      <c r="B6" s="309"/>
      <c r="C6" s="309"/>
      <c r="D6" s="309"/>
      <c r="E6" s="53" t="s">
        <v>95</v>
      </c>
      <c r="F6" s="145">
        <v>0.0007797270955165692</v>
      </c>
      <c r="G6" s="52" t="s">
        <v>203</v>
      </c>
      <c r="H6" s="54" t="s">
        <v>96</v>
      </c>
      <c r="I6" s="52" t="s">
        <v>12</v>
      </c>
      <c r="J6" s="311"/>
    </row>
    <row r="7" spans="1:10" ht="24">
      <c r="A7" s="309"/>
      <c r="B7" s="309" t="s">
        <v>97</v>
      </c>
      <c r="C7" s="309" t="s">
        <v>98</v>
      </c>
      <c r="D7" s="309" t="s">
        <v>99</v>
      </c>
      <c r="E7" s="53">
        <v>1</v>
      </c>
      <c r="F7" s="53">
        <v>0.2</v>
      </c>
      <c r="G7" s="53">
        <v>0.7</v>
      </c>
      <c r="H7" s="53">
        <v>0.1</v>
      </c>
      <c r="I7" s="53">
        <v>0.8</v>
      </c>
      <c r="J7" s="311"/>
    </row>
    <row r="8" spans="1:10" ht="24">
      <c r="A8" s="309"/>
      <c r="B8" s="309"/>
      <c r="C8" s="309"/>
      <c r="D8" s="309"/>
      <c r="E8" s="55" t="s">
        <v>100</v>
      </c>
      <c r="F8" s="55" t="s">
        <v>100</v>
      </c>
      <c r="G8" s="55" t="s">
        <v>100</v>
      </c>
      <c r="H8" s="55" t="s">
        <v>100</v>
      </c>
      <c r="I8" s="55" t="s">
        <v>100</v>
      </c>
      <c r="J8" s="312"/>
    </row>
    <row r="9" spans="1:10" ht="24">
      <c r="A9" s="56" t="s">
        <v>101</v>
      </c>
      <c r="B9" s="56"/>
      <c r="C9" s="56"/>
      <c r="D9" s="56"/>
      <c r="E9" s="56"/>
      <c r="F9" s="56"/>
      <c r="G9" s="56"/>
      <c r="H9" s="56"/>
      <c r="I9" s="56"/>
      <c r="J9" s="56"/>
    </row>
    <row r="10" spans="1:10" ht="24">
      <c r="A10" s="57" t="s">
        <v>102</v>
      </c>
      <c r="B10" s="58"/>
      <c r="C10" s="58"/>
      <c r="D10" s="58"/>
      <c r="E10" s="59">
        <f>B13+C13+D13</f>
        <v>0</v>
      </c>
      <c r="F10" s="59">
        <f>(E10*20)/100</f>
        <v>0</v>
      </c>
      <c r="G10" s="60">
        <f>E10*70/100</f>
        <v>0</v>
      </c>
      <c r="H10" s="60">
        <f>E10*10/100</f>
        <v>0</v>
      </c>
      <c r="I10" s="60">
        <f>E10*80/100</f>
        <v>0</v>
      </c>
      <c r="J10" s="60">
        <f>G10+H10</f>
        <v>0</v>
      </c>
    </row>
    <row r="11" spans="1:10" ht="24">
      <c r="A11" s="57" t="s">
        <v>199</v>
      </c>
      <c r="B11" s="58"/>
      <c r="C11" s="58"/>
      <c r="D11" s="58"/>
      <c r="E11" s="59"/>
      <c r="F11" s="59"/>
      <c r="G11" s="60"/>
      <c r="H11" s="60"/>
      <c r="I11" s="60"/>
      <c r="J11" s="60"/>
    </row>
    <row r="12" spans="1:10" ht="24">
      <c r="A12" s="57" t="s">
        <v>200</v>
      </c>
      <c r="B12" s="61"/>
      <c r="C12" s="61"/>
      <c r="D12" s="61"/>
      <c r="E12" s="61"/>
      <c r="F12" s="61"/>
      <c r="G12" s="61"/>
      <c r="H12" s="61"/>
      <c r="I12" s="61"/>
      <c r="J12" s="61"/>
    </row>
    <row r="13" spans="1:10" s="65" customFormat="1" ht="24">
      <c r="A13" s="62" t="s">
        <v>12</v>
      </c>
      <c r="B13" s="63"/>
      <c r="C13" s="64"/>
      <c r="D13" s="63"/>
      <c r="E13" s="63"/>
      <c r="F13" s="63"/>
      <c r="G13" s="63"/>
      <c r="H13" s="63"/>
      <c r="I13" s="63"/>
      <c r="J13" s="63">
        <f>SUM(J9:J12)</f>
        <v>0</v>
      </c>
    </row>
    <row r="14" spans="1:10" ht="24">
      <c r="A14" s="245" t="s">
        <v>16</v>
      </c>
      <c r="B14" s="245"/>
      <c r="C14" s="245"/>
      <c r="D14" s="245"/>
      <c r="E14" s="245"/>
      <c r="F14" s="245"/>
      <c r="G14" s="245"/>
      <c r="H14" s="245"/>
      <c r="I14" s="245"/>
      <c r="J14" s="245"/>
    </row>
    <row r="15" ht="24"/>
  </sheetData>
  <sheetProtection/>
  <mergeCells count="11">
    <mergeCell ref="D7:D8"/>
    <mergeCell ref="A1:J1"/>
    <mergeCell ref="A14:J14"/>
    <mergeCell ref="A2:J2"/>
    <mergeCell ref="A3:J3"/>
    <mergeCell ref="A5:A8"/>
    <mergeCell ref="B5:D6"/>
    <mergeCell ref="G5:I5"/>
    <mergeCell ref="J5:J8"/>
    <mergeCell ref="B7:B8"/>
    <mergeCell ref="C7:C8"/>
  </mergeCells>
  <printOptions horizontalCentered="1"/>
  <pageMargins left="0.25" right="0.25" top="0.75" bottom="0.75" header="0.3" footer="0.3"/>
  <pageSetup fitToHeight="0" fitToWidth="1" horizontalDpi="300" verticalDpi="300" orientation="landscape" scale="8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1"/>
  <sheetViews>
    <sheetView view="pageBreakPreview" zoomScale="70" zoomScaleSheetLayoutView="70" zoomScalePageLayoutView="0" workbookViewId="0" topLeftCell="A1">
      <selection activeCell="A3" sqref="A3:L3"/>
    </sheetView>
  </sheetViews>
  <sheetFormatPr defaultColWidth="9.00390625" defaultRowHeight="15"/>
  <cols>
    <col min="1" max="1" width="24.140625" style="69" bestFit="1" customWidth="1"/>
    <col min="2" max="2" width="17.7109375" style="69" customWidth="1"/>
    <col min="3" max="3" width="9.7109375" style="69" customWidth="1"/>
    <col min="4" max="4" width="6.7109375" style="69" customWidth="1"/>
    <col min="5" max="5" width="7.421875" style="69" customWidth="1"/>
    <col min="6" max="6" width="9.57421875" style="69" customWidth="1"/>
    <col min="7" max="7" width="11.421875" style="69" customWidth="1"/>
    <col min="8" max="8" width="9.7109375" style="69" customWidth="1"/>
    <col min="9" max="9" width="16.140625" style="69" customWidth="1"/>
    <col min="10" max="11" width="11.57421875" style="69" customWidth="1"/>
    <col min="12" max="12" width="13.7109375" style="69" bestFit="1" customWidth="1"/>
    <col min="13" max="13" width="9.00390625" style="69" customWidth="1"/>
    <col min="14" max="16384" width="9.00390625" style="69" customWidth="1"/>
  </cols>
  <sheetData>
    <row r="1" spans="1:12" s="68" customFormat="1" ht="21">
      <c r="A1" s="318" t="s">
        <v>212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</row>
    <row r="2" spans="1:12" s="68" customFormat="1" ht="21">
      <c r="A2" s="318" t="s">
        <v>248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</row>
    <row r="3" spans="1:12" s="68" customFormat="1" ht="21">
      <c r="A3" s="318" t="s">
        <v>42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</row>
    <row r="5" spans="1:13" ht="21">
      <c r="A5" s="319" t="s">
        <v>103</v>
      </c>
      <c r="B5" s="320" t="s">
        <v>104</v>
      </c>
      <c r="C5" s="321"/>
      <c r="D5" s="321"/>
      <c r="E5" s="321"/>
      <c r="F5" s="321"/>
      <c r="G5" s="321"/>
      <c r="H5" s="321"/>
      <c r="I5" s="321"/>
      <c r="J5" s="321"/>
      <c r="K5" s="321"/>
      <c r="L5" s="322" t="s">
        <v>12</v>
      </c>
      <c r="M5" s="72"/>
    </row>
    <row r="6" spans="1:13" ht="21">
      <c r="A6" s="319"/>
      <c r="B6" s="325" t="s">
        <v>105</v>
      </c>
      <c r="C6" s="73" t="s">
        <v>106</v>
      </c>
      <c r="D6" s="73" t="s">
        <v>106</v>
      </c>
      <c r="E6" s="73" t="s">
        <v>106</v>
      </c>
      <c r="F6" s="73" t="s">
        <v>208</v>
      </c>
      <c r="G6" s="73" t="s">
        <v>209</v>
      </c>
      <c r="H6" s="73" t="s">
        <v>106</v>
      </c>
      <c r="I6" s="319" t="s">
        <v>107</v>
      </c>
      <c r="J6" s="319"/>
      <c r="K6" s="73" t="s">
        <v>108</v>
      </c>
      <c r="L6" s="323"/>
      <c r="M6" s="72"/>
    </row>
    <row r="7" spans="1:13" ht="21">
      <c r="A7" s="319"/>
      <c r="B7" s="326"/>
      <c r="C7" s="74" t="s">
        <v>109</v>
      </c>
      <c r="D7" s="74" t="s">
        <v>110</v>
      </c>
      <c r="E7" s="74" t="s">
        <v>111</v>
      </c>
      <c r="F7" s="74" t="s">
        <v>112</v>
      </c>
      <c r="G7" s="74"/>
      <c r="H7" s="74" t="s">
        <v>113</v>
      </c>
      <c r="I7" s="319" t="s">
        <v>114</v>
      </c>
      <c r="J7" s="319"/>
      <c r="K7" s="74" t="s">
        <v>115</v>
      </c>
      <c r="L7" s="323"/>
      <c r="M7" s="72"/>
    </row>
    <row r="8" spans="1:13" ht="42">
      <c r="A8" s="319"/>
      <c r="B8" s="327"/>
      <c r="C8" s="75" t="s">
        <v>116</v>
      </c>
      <c r="D8" s="76" t="s">
        <v>117</v>
      </c>
      <c r="E8" s="76" t="s">
        <v>117</v>
      </c>
      <c r="F8" s="76" t="s">
        <v>118</v>
      </c>
      <c r="G8" s="76" t="s">
        <v>119</v>
      </c>
      <c r="H8" s="76" t="s">
        <v>116</v>
      </c>
      <c r="I8" s="77" t="s">
        <v>120</v>
      </c>
      <c r="J8" s="77" t="s">
        <v>121</v>
      </c>
      <c r="K8" s="78" t="s">
        <v>122</v>
      </c>
      <c r="L8" s="323"/>
      <c r="M8" s="72"/>
    </row>
    <row r="9" spans="1:12" ht="19.5" customHeight="1">
      <c r="A9" s="319"/>
      <c r="B9" s="79" t="s">
        <v>123</v>
      </c>
      <c r="C9" s="71">
        <v>1000</v>
      </c>
      <c r="D9" s="71">
        <v>0</v>
      </c>
      <c r="E9" s="71">
        <v>0</v>
      </c>
      <c r="F9" s="71">
        <v>300</v>
      </c>
      <c r="G9" s="71">
        <v>0</v>
      </c>
      <c r="H9" s="71">
        <v>300</v>
      </c>
      <c r="I9" s="71">
        <v>200</v>
      </c>
      <c r="J9" s="71">
        <v>300</v>
      </c>
      <c r="K9" s="71">
        <v>500</v>
      </c>
      <c r="L9" s="324"/>
    </row>
    <row r="10" spans="1:12" ht="19.5" customHeight="1">
      <c r="A10" s="70" t="s">
        <v>124</v>
      </c>
      <c r="B10" s="80"/>
      <c r="C10" s="81">
        <f>+B10*1000</f>
        <v>0</v>
      </c>
      <c r="D10" s="81">
        <f>+B10*0</f>
        <v>0</v>
      </c>
      <c r="E10" s="81">
        <f>+B10*0</f>
        <v>0</v>
      </c>
      <c r="F10" s="81">
        <f>+B10*300</f>
        <v>0</v>
      </c>
      <c r="G10" s="81">
        <f>+B10*0</f>
        <v>0</v>
      </c>
      <c r="H10" s="81">
        <f>+B10*300</f>
        <v>0</v>
      </c>
      <c r="I10" s="81">
        <f>+B10*200*9</f>
        <v>0</v>
      </c>
      <c r="J10" s="81">
        <v>0</v>
      </c>
      <c r="K10" s="81">
        <f>+B10*500</f>
        <v>0</v>
      </c>
      <c r="L10" s="82">
        <f>SUM(C10:K10)</f>
        <v>0</v>
      </c>
    </row>
    <row r="11" spans="1:12" ht="19.5" customHeight="1">
      <c r="A11" s="70" t="s">
        <v>125</v>
      </c>
      <c r="B11" s="80"/>
      <c r="C11" s="81">
        <f>+B11*1000</f>
        <v>0</v>
      </c>
      <c r="D11" s="81">
        <f>+B11*0</f>
        <v>0</v>
      </c>
      <c r="E11" s="81">
        <f>+B11*0</f>
        <v>0</v>
      </c>
      <c r="F11" s="81">
        <f>+B11*300</f>
        <v>0</v>
      </c>
      <c r="G11" s="81">
        <f>+B11*0</f>
        <v>0</v>
      </c>
      <c r="H11" s="81">
        <f>+B11*300</f>
        <v>0</v>
      </c>
      <c r="I11" s="81"/>
      <c r="J11" s="81">
        <f>+B11*300*9</f>
        <v>0</v>
      </c>
      <c r="K11" s="81">
        <f>+B11*500</f>
        <v>0</v>
      </c>
      <c r="L11" s="82">
        <f>SUM(C11:K11)</f>
        <v>0</v>
      </c>
    </row>
    <row r="12" spans="1:13" ht="19.5" customHeight="1">
      <c r="A12" s="70" t="s">
        <v>126</v>
      </c>
      <c r="B12" s="80"/>
      <c r="C12" s="81">
        <f>+B12*1000</f>
        <v>0</v>
      </c>
      <c r="D12" s="81">
        <f>+B12*0</f>
        <v>0</v>
      </c>
      <c r="E12" s="81">
        <f>+B12*0</f>
        <v>0</v>
      </c>
      <c r="F12" s="81">
        <f>+B12*300</f>
        <v>0</v>
      </c>
      <c r="G12" s="81">
        <f>+B12*0</f>
        <v>0</v>
      </c>
      <c r="H12" s="81">
        <f>+B12*300</f>
        <v>0</v>
      </c>
      <c r="I12" s="81"/>
      <c r="J12" s="81">
        <f>+B12*300*5</f>
        <v>0</v>
      </c>
      <c r="K12" s="81">
        <f>+B12*500</f>
        <v>0</v>
      </c>
      <c r="L12" s="82">
        <f>SUM(C12:K12)</f>
        <v>0</v>
      </c>
      <c r="M12" s="72"/>
    </row>
    <row r="13" spans="1:12" ht="21">
      <c r="A13" s="83" t="s">
        <v>127</v>
      </c>
      <c r="B13" s="84">
        <f>SUM(B10:B12)</f>
        <v>0</v>
      </c>
      <c r="C13" s="84">
        <f aca="true" t="shared" si="0" ref="C13:L13">SUM(C10:C12)</f>
        <v>0</v>
      </c>
      <c r="D13" s="84">
        <f t="shared" si="0"/>
        <v>0</v>
      </c>
      <c r="E13" s="84">
        <f t="shared" si="0"/>
        <v>0</v>
      </c>
      <c r="F13" s="84">
        <f t="shared" si="0"/>
        <v>0</v>
      </c>
      <c r="G13" s="84">
        <f t="shared" si="0"/>
        <v>0</v>
      </c>
      <c r="H13" s="84">
        <f t="shared" si="0"/>
        <v>0</v>
      </c>
      <c r="I13" s="84">
        <f t="shared" si="0"/>
        <v>0</v>
      </c>
      <c r="J13" s="84">
        <f t="shared" si="0"/>
        <v>0</v>
      </c>
      <c r="K13" s="84">
        <f t="shared" si="0"/>
        <v>0</v>
      </c>
      <c r="L13" s="85">
        <f t="shared" si="0"/>
        <v>0</v>
      </c>
    </row>
    <row r="14" spans="1:12" ht="21">
      <c r="A14" s="313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85">
        <f>(+L13*0.05)+L13</f>
        <v>0</v>
      </c>
    </row>
    <row r="15" spans="1:13" s="68" customFormat="1" ht="21">
      <c r="A15" s="86"/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9"/>
      <c r="M15" s="90"/>
    </row>
    <row r="16" spans="1:12" ht="21">
      <c r="A16" s="91"/>
      <c r="B16" s="91"/>
      <c r="C16" s="91"/>
      <c r="D16" s="91"/>
      <c r="E16" s="91"/>
      <c r="F16" s="92"/>
      <c r="G16" s="91"/>
      <c r="H16" s="92"/>
      <c r="I16" s="91"/>
      <c r="J16" s="314" t="s">
        <v>23</v>
      </c>
      <c r="K16" s="314"/>
      <c r="L16" s="93">
        <f>+L14*0.2</f>
        <v>0</v>
      </c>
    </row>
    <row r="17" spans="1:12" ht="21">
      <c r="A17" s="91"/>
      <c r="B17" s="91"/>
      <c r="C17" s="91"/>
      <c r="D17" s="91"/>
      <c r="E17" s="91"/>
      <c r="F17" s="94"/>
      <c r="G17" s="92"/>
      <c r="H17" s="94"/>
      <c r="I17" s="91"/>
      <c r="J17" s="315" t="s">
        <v>128</v>
      </c>
      <c r="K17" s="315"/>
      <c r="L17" s="95">
        <f>+L14*0.1</f>
        <v>0</v>
      </c>
    </row>
    <row r="18" spans="1:12" ht="21">
      <c r="A18" s="96"/>
      <c r="B18" s="96"/>
      <c r="C18" s="96"/>
      <c r="D18" s="96"/>
      <c r="E18" s="96"/>
      <c r="F18" s="96"/>
      <c r="G18" s="96"/>
      <c r="H18" s="96"/>
      <c r="I18" s="96"/>
      <c r="J18" s="316" t="s">
        <v>129</v>
      </c>
      <c r="K18" s="317"/>
      <c r="L18" s="97">
        <f>+L14*0.7</f>
        <v>0</v>
      </c>
    </row>
    <row r="19" spans="1:12" ht="21">
      <c r="A19" s="96"/>
      <c r="B19" s="96"/>
      <c r="C19" s="96"/>
      <c r="D19" s="96"/>
      <c r="E19" s="96"/>
      <c r="F19" s="96"/>
      <c r="G19" s="96"/>
      <c r="H19" s="96"/>
      <c r="I19" s="96"/>
      <c r="J19" s="98" t="s">
        <v>130</v>
      </c>
      <c r="K19" s="98"/>
      <c r="L19" s="99">
        <f>+L18+L17</f>
        <v>0</v>
      </c>
    </row>
    <row r="20" spans="1:12" ht="21">
      <c r="A20" s="96"/>
      <c r="B20" s="96"/>
      <c r="C20" s="96"/>
      <c r="D20" s="96"/>
      <c r="E20" s="96"/>
      <c r="F20" s="96"/>
      <c r="G20" s="96"/>
      <c r="H20" s="96"/>
      <c r="I20" s="96"/>
      <c r="L20" s="100" t="s">
        <v>131</v>
      </c>
    </row>
    <row r="21" ht="21">
      <c r="L21" s="101" t="s">
        <v>132</v>
      </c>
    </row>
  </sheetData>
  <sheetProtection/>
  <mergeCells count="13">
    <mergeCell ref="A1:L1"/>
    <mergeCell ref="A5:A9"/>
    <mergeCell ref="B5:K5"/>
    <mergeCell ref="L5:L9"/>
    <mergeCell ref="B6:B8"/>
    <mergeCell ref="I6:J6"/>
    <mergeCell ref="I7:J7"/>
    <mergeCell ref="A14:K14"/>
    <mergeCell ref="J16:K16"/>
    <mergeCell ref="J17:K17"/>
    <mergeCell ref="J18:K18"/>
    <mergeCell ref="A2:L2"/>
    <mergeCell ref="A3:L3"/>
  </mergeCells>
  <printOptions/>
  <pageMargins left="0.7" right="0.7" top="0.75" bottom="0.75" header="0.3" footer="0.3"/>
  <pageSetup fitToHeight="0" fitToWidth="1" horizontalDpi="300" verticalDpi="300" orientation="landscape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56"/>
  <sheetViews>
    <sheetView view="pageBreakPreview" zoomScale="60" zoomScalePageLayoutView="0" workbookViewId="0" topLeftCell="A1">
      <selection activeCell="L10" sqref="L10"/>
    </sheetView>
  </sheetViews>
  <sheetFormatPr defaultColWidth="9.140625" defaultRowHeight="15"/>
  <cols>
    <col min="1" max="1" width="10.421875" style="124" bestFit="1" customWidth="1"/>
    <col min="2" max="8" width="13.7109375" style="0" bestFit="1" customWidth="1"/>
    <col min="9" max="9" width="14.140625" style="0" customWidth="1"/>
    <col min="10" max="10" width="10.7109375" style="0" customWidth="1"/>
    <col min="11" max="11" width="11.421875" style="0" customWidth="1"/>
    <col min="12" max="12" width="16.421875" style="0" customWidth="1"/>
    <col min="13" max="13" width="13.7109375" style="0" bestFit="1" customWidth="1"/>
    <col min="14" max="14" width="13.7109375" style="0" customWidth="1"/>
    <col min="15" max="15" width="16.7109375" style="116" bestFit="1" customWidth="1"/>
    <col min="16" max="16" width="13.7109375" style="116" bestFit="1" customWidth="1"/>
    <col min="17" max="17" width="8.421875" style="0" bestFit="1" customWidth="1"/>
    <col min="19" max="19" width="10.140625" style="0" bestFit="1" customWidth="1"/>
  </cols>
  <sheetData>
    <row r="1" spans="1:16" s="1" customFormat="1" ht="21">
      <c r="A1" s="210" t="s">
        <v>201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66"/>
      <c r="M1" s="66"/>
      <c r="N1" s="66"/>
      <c r="O1" s="66"/>
      <c r="P1" s="102"/>
    </row>
    <row r="2" spans="1:16" s="1" customFormat="1" ht="21">
      <c r="A2" s="328" t="s">
        <v>141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67"/>
      <c r="M2" s="67"/>
      <c r="N2" s="67"/>
      <c r="O2" s="67"/>
      <c r="P2" s="102"/>
    </row>
    <row r="3" spans="1:12" s="1" customFormat="1" ht="21">
      <c r="A3" s="345" t="s">
        <v>76</v>
      </c>
      <c r="B3" s="349" t="s">
        <v>134</v>
      </c>
      <c r="C3" s="350"/>
      <c r="D3" s="350"/>
      <c r="E3" s="350"/>
      <c r="F3" s="350"/>
      <c r="G3" s="350"/>
      <c r="H3" s="350"/>
      <c r="I3" s="350"/>
      <c r="J3" s="351"/>
      <c r="K3" s="348" t="s">
        <v>135</v>
      </c>
      <c r="L3" s="102"/>
    </row>
    <row r="4" spans="1:12" s="1" customFormat="1" ht="21">
      <c r="A4" s="346"/>
      <c r="B4" s="349" t="s">
        <v>136</v>
      </c>
      <c r="C4" s="350"/>
      <c r="D4" s="350"/>
      <c r="E4" s="350"/>
      <c r="F4" s="350"/>
      <c r="G4" s="350"/>
      <c r="H4" s="350"/>
      <c r="I4" s="350"/>
      <c r="J4" s="351"/>
      <c r="K4" s="348"/>
      <c r="L4" s="102"/>
    </row>
    <row r="5" spans="1:12" s="1" customFormat="1" ht="21">
      <c r="A5" s="347"/>
      <c r="B5" s="103">
        <v>2553</v>
      </c>
      <c r="C5" s="103">
        <v>2554</v>
      </c>
      <c r="D5" s="103">
        <v>2555</v>
      </c>
      <c r="E5" s="103">
        <v>2556</v>
      </c>
      <c r="F5" s="103">
        <v>2557</v>
      </c>
      <c r="G5" s="103">
        <v>2558</v>
      </c>
      <c r="H5" s="103">
        <v>2559</v>
      </c>
      <c r="I5" s="126">
        <v>2560</v>
      </c>
      <c r="J5" s="104">
        <v>2561</v>
      </c>
      <c r="K5" s="348"/>
      <c r="L5" s="102"/>
    </row>
    <row r="6" spans="1:15" s="49" customFormat="1" ht="21">
      <c r="A6" s="105" t="s">
        <v>64</v>
      </c>
      <c r="B6" s="106">
        <v>77709.4</v>
      </c>
      <c r="C6" s="106">
        <v>53857.1</v>
      </c>
      <c r="D6" s="106">
        <v>14389</v>
      </c>
      <c r="E6" s="106">
        <v>97506</v>
      </c>
      <c r="F6" s="144">
        <v>0.0007797270955165692</v>
      </c>
      <c r="G6" s="144">
        <v>0.0003897116134060795</v>
      </c>
      <c r="H6" s="107">
        <v>201694</v>
      </c>
      <c r="I6" s="107">
        <v>236246</v>
      </c>
      <c r="J6" s="107"/>
      <c r="K6" s="108"/>
      <c r="L6" s="102"/>
      <c r="O6" s="109"/>
    </row>
    <row r="7" spans="1:15" s="49" customFormat="1" ht="21">
      <c r="A7" s="50" t="s">
        <v>65</v>
      </c>
      <c r="B7" s="106">
        <v>270665.3</v>
      </c>
      <c r="C7" s="106">
        <v>195737.3</v>
      </c>
      <c r="D7" s="106">
        <v>39623</v>
      </c>
      <c r="E7" s="106">
        <v>341064</v>
      </c>
      <c r="F7" s="106">
        <v>398149</v>
      </c>
      <c r="G7" s="106">
        <v>436189</v>
      </c>
      <c r="H7" s="107">
        <v>399766</v>
      </c>
      <c r="I7" s="107">
        <v>248247</v>
      </c>
      <c r="J7" s="107"/>
      <c r="K7" s="108"/>
      <c r="L7" s="102"/>
      <c r="O7" s="109"/>
    </row>
    <row r="8" spans="1:15" s="49" customFormat="1" ht="21">
      <c r="A8" s="105" t="s">
        <v>66</v>
      </c>
      <c r="B8" s="106">
        <v>132137.32</v>
      </c>
      <c r="C8" s="106">
        <v>177138.83</v>
      </c>
      <c r="D8" s="106">
        <v>134316.61</v>
      </c>
      <c r="E8" s="106">
        <v>280296.28</v>
      </c>
      <c r="F8" s="106">
        <v>421034.59</v>
      </c>
      <c r="G8" s="106">
        <v>555944.4</v>
      </c>
      <c r="H8" s="107">
        <v>484130.68</v>
      </c>
      <c r="I8" s="107">
        <v>338293</v>
      </c>
      <c r="J8" s="107"/>
      <c r="K8" s="108"/>
      <c r="L8" s="102"/>
      <c r="O8" s="109"/>
    </row>
    <row r="9" spans="1:15" s="49" customFormat="1" ht="21">
      <c r="A9" s="50" t="s">
        <v>67</v>
      </c>
      <c r="B9" s="106">
        <v>313871.8</v>
      </c>
      <c r="C9" s="106">
        <v>246814</v>
      </c>
      <c r="D9" s="106">
        <v>187848.5</v>
      </c>
      <c r="E9" s="106">
        <v>518321</v>
      </c>
      <c r="F9" s="106">
        <v>583832</v>
      </c>
      <c r="G9" s="106">
        <v>520875</v>
      </c>
      <c r="H9" s="107">
        <v>372128</v>
      </c>
      <c r="I9" s="107">
        <v>370265</v>
      </c>
      <c r="J9" s="107"/>
      <c r="K9" s="108"/>
      <c r="L9" s="102"/>
      <c r="O9" s="109"/>
    </row>
    <row r="10" spans="1:15" s="49" customFormat="1" ht="21">
      <c r="A10" s="105" t="s">
        <v>68</v>
      </c>
      <c r="B10" s="106">
        <v>190365.4</v>
      </c>
      <c r="C10" s="106">
        <v>319038.25</v>
      </c>
      <c r="D10" s="106">
        <v>359569</v>
      </c>
      <c r="E10" s="106">
        <v>323186</v>
      </c>
      <c r="F10" s="106">
        <v>436070</v>
      </c>
      <c r="G10" s="106">
        <v>569645</v>
      </c>
      <c r="H10" s="107">
        <v>329453</v>
      </c>
      <c r="I10" s="107">
        <v>326843</v>
      </c>
      <c r="J10" s="107"/>
      <c r="K10" s="108"/>
      <c r="L10" s="102"/>
      <c r="O10" s="109"/>
    </row>
    <row r="11" spans="1:15" s="49" customFormat="1" ht="21">
      <c r="A11" s="50" t="s">
        <v>69</v>
      </c>
      <c r="B11" s="106">
        <v>329421.6</v>
      </c>
      <c r="C11" s="106">
        <v>201198.5</v>
      </c>
      <c r="D11" s="106">
        <v>366315.75</v>
      </c>
      <c r="E11" s="106">
        <v>287252.5</v>
      </c>
      <c r="F11" s="106">
        <v>552541</v>
      </c>
      <c r="G11" s="106">
        <v>588458.6</v>
      </c>
      <c r="H11" s="107">
        <v>429209.91</v>
      </c>
      <c r="I11" s="107">
        <v>502145</v>
      </c>
      <c r="J11" s="107"/>
      <c r="K11" s="108"/>
      <c r="L11" s="102"/>
      <c r="O11" s="109"/>
    </row>
    <row r="12" spans="1:15" s="49" customFormat="1" ht="21">
      <c r="A12" s="105" t="s">
        <v>70</v>
      </c>
      <c r="B12" s="106">
        <v>270394.2</v>
      </c>
      <c r="C12" s="106">
        <v>170695</v>
      </c>
      <c r="D12" s="106">
        <v>157442</v>
      </c>
      <c r="E12" s="106">
        <v>512033.5</v>
      </c>
      <c r="F12" s="106">
        <v>439348</v>
      </c>
      <c r="G12" s="106">
        <v>529027</v>
      </c>
      <c r="H12" s="107">
        <v>486891</v>
      </c>
      <c r="I12" s="107">
        <v>219565</v>
      </c>
      <c r="J12" s="107"/>
      <c r="K12" s="108"/>
      <c r="L12" s="102"/>
      <c r="O12" s="109"/>
    </row>
    <row r="13" spans="1:15" s="49" customFormat="1" ht="21">
      <c r="A13" s="50" t="s">
        <v>71</v>
      </c>
      <c r="B13" s="106">
        <v>312522.25</v>
      </c>
      <c r="C13" s="106">
        <v>490561.1</v>
      </c>
      <c r="D13" s="106">
        <v>481537</v>
      </c>
      <c r="E13" s="106">
        <v>617654</v>
      </c>
      <c r="F13" s="106">
        <v>335810</v>
      </c>
      <c r="G13" s="106">
        <v>310484</v>
      </c>
      <c r="H13" s="107">
        <v>226189</v>
      </c>
      <c r="I13" s="107">
        <v>590446</v>
      </c>
      <c r="J13" s="107"/>
      <c r="K13" s="108"/>
      <c r="L13" s="102"/>
      <c r="O13" s="109"/>
    </row>
    <row r="14" spans="1:15" s="49" customFormat="1" ht="21">
      <c r="A14" s="105" t="s">
        <v>72</v>
      </c>
      <c r="B14" s="106">
        <v>477313.14</v>
      </c>
      <c r="C14" s="106">
        <v>442170.02</v>
      </c>
      <c r="D14" s="106">
        <v>463917.62</v>
      </c>
      <c r="E14" s="106">
        <v>974134.36</v>
      </c>
      <c r="F14" s="106">
        <v>867397.5</v>
      </c>
      <c r="G14" s="106">
        <v>403683.28</v>
      </c>
      <c r="H14" s="110">
        <v>419747</v>
      </c>
      <c r="I14" s="110"/>
      <c r="J14" s="110"/>
      <c r="K14" s="108"/>
      <c r="L14" s="102"/>
      <c r="M14" s="111"/>
      <c r="O14" s="109"/>
    </row>
    <row r="15" spans="1:15" s="49" customFormat="1" ht="21">
      <c r="A15" s="50" t="s">
        <v>73</v>
      </c>
      <c r="B15" s="106">
        <v>266080</v>
      </c>
      <c r="C15" s="106">
        <v>230485</v>
      </c>
      <c r="D15" s="106">
        <v>365759</v>
      </c>
      <c r="E15" s="106">
        <v>613839</v>
      </c>
      <c r="F15" s="106">
        <v>659409</v>
      </c>
      <c r="G15" s="106">
        <v>640512</v>
      </c>
      <c r="H15" s="110">
        <v>392592</v>
      </c>
      <c r="I15" s="110"/>
      <c r="J15" s="110"/>
      <c r="K15" s="108"/>
      <c r="L15" s="102"/>
      <c r="M15" s="111"/>
      <c r="O15" s="109"/>
    </row>
    <row r="16" spans="1:15" s="49" customFormat="1" ht="21">
      <c r="A16" s="105" t="s">
        <v>74</v>
      </c>
      <c r="B16" s="106">
        <v>444873</v>
      </c>
      <c r="C16" s="106">
        <v>532513.3</v>
      </c>
      <c r="D16" s="106">
        <v>610529</v>
      </c>
      <c r="E16" s="106">
        <v>865565</v>
      </c>
      <c r="F16" s="106">
        <v>1259731</v>
      </c>
      <c r="G16" s="106">
        <v>1090767</v>
      </c>
      <c r="H16" s="110">
        <v>1061913</v>
      </c>
      <c r="I16" s="110"/>
      <c r="J16" s="110"/>
      <c r="K16" s="108"/>
      <c r="L16" s="102"/>
      <c r="M16" s="111"/>
      <c r="O16" s="109"/>
    </row>
    <row r="17" spans="1:15" s="49" customFormat="1" ht="21">
      <c r="A17" s="50" t="s">
        <v>75</v>
      </c>
      <c r="B17" s="106">
        <v>121874</v>
      </c>
      <c r="C17" s="106">
        <v>243169</v>
      </c>
      <c r="D17" s="106">
        <v>204139</v>
      </c>
      <c r="E17" s="106">
        <v>358861</v>
      </c>
      <c r="F17" s="106">
        <v>227391</v>
      </c>
      <c r="G17" s="106">
        <v>322289.52</v>
      </c>
      <c r="H17" s="110">
        <v>186874</v>
      </c>
      <c r="I17" s="110"/>
      <c r="J17" s="110"/>
      <c r="K17" s="108"/>
      <c r="L17" s="102"/>
      <c r="M17" s="111"/>
      <c r="O17" s="109"/>
    </row>
    <row r="18" spans="1:15" s="65" customFormat="1" ht="21">
      <c r="A18" s="50" t="s">
        <v>77</v>
      </c>
      <c r="B18" s="112">
        <f aca="true" t="shared" si="0" ref="B18:K18">SUM(B6:B17)</f>
        <v>3207227.4099999997</v>
      </c>
      <c r="C18" s="112">
        <f t="shared" si="0"/>
        <v>3303377.4000000004</v>
      </c>
      <c r="D18" s="112">
        <f t="shared" si="0"/>
        <v>3385385.48</v>
      </c>
      <c r="E18" s="112">
        <f t="shared" si="0"/>
        <v>5789712.640000001</v>
      </c>
      <c r="F18" s="112">
        <f t="shared" si="0"/>
        <v>6180713.090779727</v>
      </c>
      <c r="G18" s="112">
        <f t="shared" si="0"/>
        <v>5967874.800389711</v>
      </c>
      <c r="H18" s="112">
        <f t="shared" si="0"/>
        <v>4990587.59</v>
      </c>
      <c r="I18" s="112">
        <f t="shared" si="0"/>
        <v>2832050</v>
      </c>
      <c r="J18" s="112">
        <f t="shared" si="0"/>
        <v>0</v>
      </c>
      <c r="K18" s="112">
        <f t="shared" si="0"/>
        <v>0</v>
      </c>
      <c r="L18" s="113"/>
      <c r="O18" s="114"/>
    </row>
    <row r="20" spans="1:19" s="1" customFormat="1" ht="21">
      <c r="A20" s="273" t="s">
        <v>133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66"/>
      <c r="M20" s="66"/>
      <c r="N20" s="66"/>
      <c r="O20" s="66"/>
      <c r="P20" s="102"/>
      <c r="S20" s="115"/>
    </row>
    <row r="21" spans="1:16" s="1" customFormat="1" ht="21">
      <c r="A21" s="328" t="s">
        <v>141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67"/>
      <c r="M21" s="67"/>
      <c r="N21" s="67"/>
      <c r="O21" s="67"/>
      <c r="P21" s="102"/>
    </row>
    <row r="22" spans="1:16" ht="21">
      <c r="A22" s="336" t="s">
        <v>76</v>
      </c>
      <c r="B22" s="342" t="s">
        <v>137</v>
      </c>
      <c r="C22" s="343"/>
      <c r="D22" s="343"/>
      <c r="E22" s="343"/>
      <c r="F22" s="343"/>
      <c r="G22" s="343"/>
      <c r="H22" s="343"/>
      <c r="I22" s="343"/>
      <c r="J22" s="344"/>
      <c r="K22" s="339" t="s">
        <v>138</v>
      </c>
      <c r="L22" s="116"/>
      <c r="O22"/>
      <c r="P22"/>
    </row>
    <row r="23" spans="1:16" ht="21">
      <c r="A23" s="337"/>
      <c r="B23" s="342" t="s">
        <v>136</v>
      </c>
      <c r="C23" s="343"/>
      <c r="D23" s="343"/>
      <c r="E23" s="343"/>
      <c r="F23" s="343"/>
      <c r="G23" s="343"/>
      <c r="H23" s="343"/>
      <c r="I23" s="343"/>
      <c r="J23" s="344"/>
      <c r="K23" s="340"/>
      <c r="L23" s="116"/>
      <c r="O23"/>
      <c r="P23"/>
    </row>
    <row r="24" spans="1:16" ht="21">
      <c r="A24" s="338"/>
      <c r="B24" s="127">
        <v>2553</v>
      </c>
      <c r="C24" s="127">
        <v>2554</v>
      </c>
      <c r="D24" s="127">
        <v>2555</v>
      </c>
      <c r="E24" s="127">
        <v>2556</v>
      </c>
      <c r="F24" s="127">
        <v>2557</v>
      </c>
      <c r="G24" s="127">
        <v>2558</v>
      </c>
      <c r="H24" s="127">
        <v>2559</v>
      </c>
      <c r="I24" s="127">
        <v>2560</v>
      </c>
      <c r="J24" s="125">
        <v>2561</v>
      </c>
      <c r="K24" s="341"/>
      <c r="L24" s="116"/>
      <c r="O24"/>
      <c r="P24"/>
    </row>
    <row r="25" spans="1:16" ht="21">
      <c r="A25" s="117" t="s">
        <v>64</v>
      </c>
      <c r="B25" s="106">
        <v>124931.51</v>
      </c>
      <c r="C25" s="106">
        <f>76690.41+7892.75</f>
        <v>84583.16</v>
      </c>
      <c r="D25" s="106">
        <f>11336.02+548.25</f>
        <v>11884.27</v>
      </c>
      <c r="E25" s="106">
        <f>27630.93+5784.25</f>
        <v>33415.18</v>
      </c>
      <c r="F25" s="106">
        <f>224155.98+5984</f>
        <v>230139.98</v>
      </c>
      <c r="G25" s="106">
        <f>409705.73+3145</f>
        <v>412850.73</v>
      </c>
      <c r="H25" s="107">
        <f>146975.08+211061.21</f>
        <v>358036.29</v>
      </c>
      <c r="I25" s="107"/>
      <c r="J25" s="107"/>
      <c r="K25" s="108"/>
      <c r="L25" s="116"/>
      <c r="O25"/>
      <c r="P25"/>
    </row>
    <row r="26" spans="1:16" ht="21">
      <c r="A26" s="118" t="s">
        <v>65</v>
      </c>
      <c r="B26" s="106">
        <v>257392.09</v>
      </c>
      <c r="C26" s="106">
        <f>201586.91+7129.8</f>
        <v>208716.71</v>
      </c>
      <c r="D26" s="106">
        <f>106561.88+38</f>
        <v>106599.88</v>
      </c>
      <c r="E26" s="106">
        <f>319602.6+6409</f>
        <v>326011.6</v>
      </c>
      <c r="F26" s="106">
        <f>355270.27+6617.25</f>
        <v>361887.52</v>
      </c>
      <c r="G26" s="106">
        <f>413770.94+3085.5</f>
        <v>416856.44</v>
      </c>
      <c r="H26" s="107">
        <f>300852.28+156098.09</f>
        <v>456950.37</v>
      </c>
      <c r="I26" s="107"/>
      <c r="J26" s="107"/>
      <c r="K26" s="108"/>
      <c r="L26" s="116"/>
      <c r="O26"/>
      <c r="P26"/>
    </row>
    <row r="27" spans="1:16" ht="21">
      <c r="A27" s="117" t="s">
        <v>66</v>
      </c>
      <c r="B27" s="106">
        <v>145503.99</v>
      </c>
      <c r="C27" s="106">
        <f>165507.7+8619.55</f>
        <v>174127.25</v>
      </c>
      <c r="D27" s="106">
        <v>154685.29</v>
      </c>
      <c r="E27" s="106">
        <f>246484.09+6009.5</f>
        <v>252493.59</v>
      </c>
      <c r="F27" s="106">
        <f>389495.73+5826.75</f>
        <v>395322.48</v>
      </c>
      <c r="G27" s="106">
        <f>496374.39+2856</f>
        <v>499230.39</v>
      </c>
      <c r="H27" s="107">
        <f>370030.84+75229.36</f>
        <v>445260.2</v>
      </c>
      <c r="I27" s="107"/>
      <c r="J27" s="107"/>
      <c r="K27" s="108"/>
      <c r="L27" s="116"/>
      <c r="O27"/>
      <c r="P27"/>
    </row>
    <row r="28" spans="1:16" ht="21">
      <c r="A28" s="118" t="s">
        <v>67</v>
      </c>
      <c r="B28" s="106">
        <f>235437.35+48740.55</f>
        <v>284177.9</v>
      </c>
      <c r="C28" s="106">
        <f>185318.86+6840.8</f>
        <v>192159.65999999997</v>
      </c>
      <c r="D28" s="106">
        <f>182627.46+4662.25</f>
        <v>187289.71</v>
      </c>
      <c r="E28" s="106">
        <f>456630.1+6982.75</f>
        <v>463612.85</v>
      </c>
      <c r="F28" s="106">
        <f>524391.43+6268.75</f>
        <v>530660.18</v>
      </c>
      <c r="G28" s="106">
        <f>469286.81+2737</f>
        <v>472023.81</v>
      </c>
      <c r="H28" s="107">
        <f>275571.75+100934.68</f>
        <v>376506.43</v>
      </c>
      <c r="I28" s="107"/>
      <c r="J28" s="107"/>
      <c r="K28" s="108"/>
      <c r="L28" s="116"/>
      <c r="O28"/>
      <c r="P28"/>
    </row>
    <row r="29" spans="1:16" ht="21">
      <c r="A29" s="117" t="s">
        <v>68</v>
      </c>
      <c r="B29" s="106">
        <f>161411.61+32294.75</f>
        <v>193706.36</v>
      </c>
      <c r="C29" s="106">
        <f>302199.67+6608.75</f>
        <v>308808.42</v>
      </c>
      <c r="D29" s="106">
        <f>312883.53+5491</f>
        <v>318374.53</v>
      </c>
      <c r="E29" s="106">
        <f>310122.3+6256</f>
        <v>316378.3</v>
      </c>
      <c r="F29" s="106">
        <f>395611.38+5537.75</f>
        <v>401149.13</v>
      </c>
      <c r="G29" s="106">
        <f>530085.67+2766.75</f>
        <v>532852.42</v>
      </c>
      <c r="H29" s="107">
        <f>241744.64+74165.11</f>
        <v>315909.75</v>
      </c>
      <c r="I29" s="107"/>
      <c r="J29" s="107"/>
      <c r="K29" s="108"/>
      <c r="L29" s="116"/>
      <c r="O29"/>
      <c r="P29"/>
    </row>
    <row r="30" spans="1:16" ht="21">
      <c r="A30" s="118" t="s">
        <v>69</v>
      </c>
      <c r="B30" s="106">
        <f>322665.93+45375</f>
        <v>368040.93</v>
      </c>
      <c r="C30" s="106">
        <f>214292.81+6655.5</f>
        <v>220948.31</v>
      </c>
      <c r="D30" s="106">
        <f>326623+5741.75</f>
        <v>332364.75</v>
      </c>
      <c r="E30" s="106">
        <f>279533.76+6774.5</f>
        <v>286308.26</v>
      </c>
      <c r="F30" s="106">
        <f>475031.21+5622.75</f>
        <v>480653.96</v>
      </c>
      <c r="G30" s="106">
        <f>538170.14+2720</f>
        <v>540890.14</v>
      </c>
      <c r="H30" s="107">
        <f>317358.21+77290.49</f>
        <v>394648.7</v>
      </c>
      <c r="I30" s="107"/>
      <c r="J30" s="107"/>
      <c r="K30" s="108"/>
      <c r="L30" s="116"/>
      <c r="O30"/>
      <c r="P30"/>
    </row>
    <row r="31" spans="1:16" ht="21">
      <c r="A31" s="117" t="s">
        <v>70</v>
      </c>
      <c r="B31" s="106">
        <f>257289.88+6735.4</f>
        <v>264025.28</v>
      </c>
      <c r="C31" s="106">
        <f>165687.97+5227.5</f>
        <v>170915.47</v>
      </c>
      <c r="D31" s="106">
        <f>155721.05+4313.75</f>
        <v>160034.8</v>
      </c>
      <c r="E31" s="106">
        <f>454743.8+4713.25</f>
        <v>459457.05</v>
      </c>
      <c r="F31" s="106">
        <f>385856.02+2337.5</f>
        <v>388193.52</v>
      </c>
      <c r="G31" s="106">
        <f>467520.26+2210</f>
        <v>469730.26</v>
      </c>
      <c r="H31" s="107">
        <f>346351.8+73793.36</f>
        <v>420145.16</v>
      </c>
      <c r="I31" s="107"/>
      <c r="J31" s="107"/>
      <c r="K31" s="108"/>
      <c r="L31" s="116"/>
      <c r="O31"/>
      <c r="P31"/>
    </row>
    <row r="32" spans="1:16" ht="21">
      <c r="A32" s="118" t="s">
        <v>71</v>
      </c>
      <c r="B32" s="106">
        <f>228483.89-47609.46</f>
        <v>180874.43000000002</v>
      </c>
      <c r="C32" s="106">
        <f>360798.89+5618.5</f>
        <v>366417.39</v>
      </c>
      <c r="D32" s="106">
        <f>366562.7+5036.25</f>
        <v>371598.95</v>
      </c>
      <c r="E32" s="106">
        <f>502280.45+5070.25</f>
        <v>507350.7</v>
      </c>
      <c r="F32" s="106">
        <f>316007+2312</f>
        <v>318319</v>
      </c>
      <c r="G32" s="106">
        <f>323549.56+2511.75</f>
        <v>326061.31</v>
      </c>
      <c r="H32" s="107">
        <f>166320.11+78174.56</f>
        <v>244494.66999999998</v>
      </c>
      <c r="I32" s="107"/>
      <c r="J32" s="107"/>
      <c r="K32" s="108"/>
      <c r="L32" s="116"/>
      <c r="O32"/>
      <c r="P32"/>
    </row>
    <row r="33" spans="1:16" ht="21">
      <c r="A33" s="117" t="s">
        <v>72</v>
      </c>
      <c r="B33" s="106">
        <f>340314.89+112434.69</f>
        <v>452749.58</v>
      </c>
      <c r="C33" s="106">
        <f>345990.78+6562</f>
        <v>352552.78</v>
      </c>
      <c r="D33" s="106">
        <f>376069.63+5937.25</f>
        <v>382006.88</v>
      </c>
      <c r="E33" s="106">
        <f>809242.09+6120</f>
        <v>815362.09</v>
      </c>
      <c r="F33" s="106">
        <f>670877.85+3408.5</f>
        <v>674286.35</v>
      </c>
      <c r="G33" s="106">
        <f>347062.21+2690.25</f>
        <v>349752.46</v>
      </c>
      <c r="H33" s="110">
        <v>0</v>
      </c>
      <c r="I33" s="110"/>
      <c r="J33" s="110"/>
      <c r="K33" s="108"/>
      <c r="L33" s="116"/>
      <c r="O33"/>
      <c r="P33"/>
    </row>
    <row r="34" spans="1:16" ht="21">
      <c r="A34" s="118" t="s">
        <v>73</v>
      </c>
      <c r="B34" s="106">
        <f>229604.6-53125.96</f>
        <v>176478.64</v>
      </c>
      <c r="C34" s="106">
        <f>226689.63+5520.75</f>
        <v>232210.38</v>
      </c>
      <c r="D34" s="106">
        <f>334293.35+5924.5</f>
        <v>340217.85</v>
      </c>
      <c r="E34" s="106">
        <f>511485.18+5350.75</f>
        <v>516835.93</v>
      </c>
      <c r="F34" s="106">
        <f>519419.65+3213</f>
        <v>522632.65</v>
      </c>
      <c r="G34" s="106">
        <f>519101.76+1398.31</f>
        <v>520500.07</v>
      </c>
      <c r="H34" s="110">
        <v>0</v>
      </c>
      <c r="I34" s="110"/>
      <c r="J34" s="110"/>
      <c r="K34" s="108"/>
      <c r="L34" s="116"/>
      <c r="O34"/>
      <c r="P34"/>
    </row>
    <row r="35" spans="1:16" ht="21">
      <c r="A35" s="117" t="s">
        <v>74</v>
      </c>
      <c r="B35" s="106">
        <f>410845.22+11661.95</f>
        <v>422507.17</v>
      </c>
      <c r="C35" s="106">
        <f>470285.85+6243.25</f>
        <v>476529.1</v>
      </c>
      <c r="D35" s="106">
        <f>522479.14+5168</f>
        <v>527647.14</v>
      </c>
      <c r="E35" s="106">
        <f>750816.36+5716.25</f>
        <v>756532.61</v>
      </c>
      <c r="F35" s="106">
        <f>1085970.3+2958</f>
        <v>1088928.3</v>
      </c>
      <c r="G35" s="106">
        <f>918289.09+3136.5</f>
        <v>921425.59</v>
      </c>
      <c r="H35" s="110">
        <v>0</v>
      </c>
      <c r="I35" s="110"/>
      <c r="J35" s="110"/>
      <c r="K35" s="108"/>
      <c r="L35" s="116"/>
      <c r="O35"/>
      <c r="P35"/>
    </row>
    <row r="36" spans="1:16" ht="21">
      <c r="A36" s="118" t="s">
        <v>75</v>
      </c>
      <c r="B36" s="106">
        <f>143832.1+8631.4</f>
        <v>152463.5</v>
      </c>
      <c r="C36" s="106">
        <f>258290.51+6634.25</f>
        <v>264924.76</v>
      </c>
      <c r="D36" s="106">
        <f>210786.9+6319.75</f>
        <v>217106.65</v>
      </c>
      <c r="E36" s="106">
        <f>355767.25+6132.75</f>
        <v>361900</v>
      </c>
      <c r="F36" s="106">
        <f>213859.66+3417</f>
        <v>217276.66</v>
      </c>
      <c r="G36" s="106">
        <f>375437.69+3077</f>
        <v>378514.69</v>
      </c>
      <c r="H36" s="110">
        <v>0</v>
      </c>
      <c r="I36" s="110"/>
      <c r="J36" s="110"/>
      <c r="K36" s="108"/>
      <c r="L36" s="116"/>
      <c r="O36"/>
      <c r="P36"/>
    </row>
    <row r="37" spans="1:16" ht="21">
      <c r="A37" s="118" t="s">
        <v>77</v>
      </c>
      <c r="B37" s="119">
        <f aca="true" t="shared" si="1" ref="B37:H37">SUM(B25:B36)</f>
        <v>3022851.38</v>
      </c>
      <c r="C37" s="119">
        <f t="shared" si="1"/>
        <v>3052893.3900000006</v>
      </c>
      <c r="D37" s="119">
        <f t="shared" si="1"/>
        <v>3109810.7</v>
      </c>
      <c r="E37" s="119">
        <f t="shared" si="1"/>
        <v>5095658.16</v>
      </c>
      <c r="F37" s="119">
        <f t="shared" si="1"/>
        <v>5609449.73</v>
      </c>
      <c r="G37" s="119">
        <f t="shared" si="1"/>
        <v>5840688.3100000005</v>
      </c>
      <c r="H37" s="119">
        <f t="shared" si="1"/>
        <v>3011951.57</v>
      </c>
      <c r="I37" s="119">
        <f>SUM(I25:I36)</f>
        <v>0</v>
      </c>
      <c r="J37" s="119"/>
      <c r="K37" s="119">
        <f>SUM(K25:K36)</f>
        <v>0</v>
      </c>
      <c r="L37" s="116"/>
      <c r="O37"/>
      <c r="P37"/>
    </row>
    <row r="39" spans="1:16" s="1" customFormat="1" ht="21">
      <c r="A39" s="273" t="s">
        <v>133</v>
      </c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66"/>
      <c r="M39" s="66"/>
      <c r="N39" s="66"/>
      <c r="O39" s="66"/>
      <c r="P39" s="102"/>
    </row>
    <row r="40" spans="1:16" s="1" customFormat="1" ht="21">
      <c r="A40" s="328" t="s">
        <v>141</v>
      </c>
      <c r="B40" s="328"/>
      <c r="C40" s="328"/>
      <c r="D40" s="328"/>
      <c r="E40" s="328"/>
      <c r="F40" s="328"/>
      <c r="G40" s="328"/>
      <c r="H40" s="328"/>
      <c r="I40" s="328"/>
      <c r="J40" s="328"/>
      <c r="K40" s="328"/>
      <c r="L40" s="67"/>
      <c r="M40" s="67"/>
      <c r="N40" s="67"/>
      <c r="O40" s="67"/>
      <c r="P40" s="102"/>
    </row>
    <row r="41" spans="1:16" ht="21">
      <c r="A41" s="329" t="s">
        <v>76</v>
      </c>
      <c r="B41" s="332" t="s">
        <v>139</v>
      </c>
      <c r="C41" s="333"/>
      <c r="D41" s="333"/>
      <c r="E41" s="333"/>
      <c r="F41" s="333"/>
      <c r="G41" s="333"/>
      <c r="H41" s="333"/>
      <c r="I41" s="333"/>
      <c r="J41" s="334"/>
      <c r="K41" s="335" t="s">
        <v>140</v>
      </c>
      <c r="L41" s="116"/>
      <c r="O41"/>
      <c r="P41"/>
    </row>
    <row r="42" spans="1:16" ht="21">
      <c r="A42" s="330"/>
      <c r="B42" s="332" t="s">
        <v>136</v>
      </c>
      <c r="C42" s="333"/>
      <c r="D42" s="333"/>
      <c r="E42" s="333"/>
      <c r="F42" s="333"/>
      <c r="G42" s="333"/>
      <c r="H42" s="333"/>
      <c r="I42" s="333"/>
      <c r="J42" s="334"/>
      <c r="K42" s="335"/>
      <c r="L42" s="116"/>
      <c r="O42"/>
      <c r="P42"/>
    </row>
    <row r="43" spans="1:16" ht="21">
      <c r="A43" s="331"/>
      <c r="B43" s="120">
        <v>2553</v>
      </c>
      <c r="C43" s="120">
        <v>2554</v>
      </c>
      <c r="D43" s="120">
        <v>2555</v>
      </c>
      <c r="E43" s="120">
        <v>2556</v>
      </c>
      <c r="F43" s="120">
        <v>2557</v>
      </c>
      <c r="G43" s="120">
        <v>2558</v>
      </c>
      <c r="H43" s="120">
        <v>2559</v>
      </c>
      <c r="I43" s="120">
        <v>2560</v>
      </c>
      <c r="J43" s="120">
        <v>2561</v>
      </c>
      <c r="K43" s="335"/>
      <c r="L43" s="116"/>
      <c r="O43"/>
      <c r="P43"/>
    </row>
    <row r="44" spans="1:16" ht="21">
      <c r="A44" s="121" t="s">
        <v>64</v>
      </c>
      <c r="B44" s="106">
        <f aca="true" t="shared" si="2" ref="B44:H51">+B6-B25</f>
        <v>-47222.11</v>
      </c>
      <c r="C44" s="106">
        <f t="shared" si="2"/>
        <v>-30726.060000000005</v>
      </c>
      <c r="D44" s="106">
        <f t="shared" si="2"/>
        <v>2504.7299999999996</v>
      </c>
      <c r="E44" s="106">
        <f t="shared" si="2"/>
        <v>64090.82</v>
      </c>
      <c r="F44" s="106">
        <f t="shared" si="2"/>
        <v>-230139.97922027291</v>
      </c>
      <c r="G44" s="106">
        <f t="shared" si="2"/>
        <v>-412850.72961028834</v>
      </c>
      <c r="H44" s="106">
        <f t="shared" si="2"/>
        <v>-156342.28999999998</v>
      </c>
      <c r="I44" s="106"/>
      <c r="J44" s="106"/>
      <c r="K44" s="108"/>
      <c r="L44" s="116"/>
      <c r="O44"/>
      <c r="P44"/>
    </row>
    <row r="45" spans="1:16" ht="21">
      <c r="A45" s="122" t="s">
        <v>65</v>
      </c>
      <c r="B45" s="106">
        <f t="shared" si="2"/>
        <v>13273.209999999992</v>
      </c>
      <c r="C45" s="106">
        <f t="shared" si="2"/>
        <v>-12979.410000000003</v>
      </c>
      <c r="D45" s="106">
        <f t="shared" si="2"/>
        <v>-66976.88</v>
      </c>
      <c r="E45" s="106">
        <f t="shared" si="2"/>
        <v>15052.400000000023</v>
      </c>
      <c r="F45" s="106">
        <f t="shared" si="2"/>
        <v>36261.47999999998</v>
      </c>
      <c r="G45" s="106">
        <f t="shared" si="2"/>
        <v>19332.559999999998</v>
      </c>
      <c r="H45" s="106">
        <f t="shared" si="2"/>
        <v>-57184.369999999995</v>
      </c>
      <c r="I45" s="106"/>
      <c r="J45" s="106"/>
      <c r="K45" s="108"/>
      <c r="L45" s="116"/>
      <c r="O45"/>
      <c r="P45"/>
    </row>
    <row r="46" spans="1:16" ht="21">
      <c r="A46" s="121" t="s">
        <v>66</v>
      </c>
      <c r="B46" s="106">
        <f t="shared" si="2"/>
        <v>-13366.669999999984</v>
      </c>
      <c r="C46" s="106">
        <f t="shared" si="2"/>
        <v>3011.579999999987</v>
      </c>
      <c r="D46" s="106">
        <f t="shared" si="2"/>
        <v>-20368.680000000022</v>
      </c>
      <c r="E46" s="106">
        <f t="shared" si="2"/>
        <v>27802.69000000003</v>
      </c>
      <c r="F46" s="106">
        <f t="shared" si="2"/>
        <v>25712.110000000044</v>
      </c>
      <c r="G46" s="106">
        <f t="shared" si="2"/>
        <v>56714.01000000001</v>
      </c>
      <c r="H46" s="106">
        <f t="shared" si="2"/>
        <v>38870.47999999998</v>
      </c>
      <c r="I46" s="106"/>
      <c r="J46" s="106"/>
      <c r="K46" s="108"/>
      <c r="L46" s="116"/>
      <c r="O46"/>
      <c r="P46"/>
    </row>
    <row r="47" spans="1:16" ht="21">
      <c r="A47" s="122" t="s">
        <v>67</v>
      </c>
      <c r="B47" s="106">
        <f t="shared" si="2"/>
        <v>29693.899999999965</v>
      </c>
      <c r="C47" s="106">
        <f t="shared" si="2"/>
        <v>54654.340000000026</v>
      </c>
      <c r="D47" s="106">
        <f t="shared" si="2"/>
        <v>558.7900000000081</v>
      </c>
      <c r="E47" s="106">
        <f t="shared" si="2"/>
        <v>54708.15000000002</v>
      </c>
      <c r="F47" s="106">
        <f t="shared" si="2"/>
        <v>53171.81999999995</v>
      </c>
      <c r="G47" s="106">
        <f t="shared" si="2"/>
        <v>48851.19</v>
      </c>
      <c r="H47" s="106">
        <f t="shared" si="2"/>
        <v>-4378.429999999993</v>
      </c>
      <c r="I47" s="106"/>
      <c r="J47" s="106"/>
      <c r="K47" s="108"/>
      <c r="L47" s="116"/>
      <c r="O47"/>
      <c r="P47"/>
    </row>
    <row r="48" spans="1:16" ht="21">
      <c r="A48" s="121" t="s">
        <v>68</v>
      </c>
      <c r="B48" s="106">
        <f t="shared" si="2"/>
        <v>-3340.959999999992</v>
      </c>
      <c r="C48" s="106">
        <f t="shared" si="2"/>
        <v>10229.830000000016</v>
      </c>
      <c r="D48" s="106">
        <f t="shared" si="2"/>
        <v>41194.46999999997</v>
      </c>
      <c r="E48" s="106">
        <f t="shared" si="2"/>
        <v>6807.700000000012</v>
      </c>
      <c r="F48" s="106">
        <f t="shared" si="2"/>
        <v>34920.869999999995</v>
      </c>
      <c r="G48" s="106">
        <f t="shared" si="2"/>
        <v>36792.57999999996</v>
      </c>
      <c r="H48" s="106">
        <f t="shared" si="2"/>
        <v>13543.25</v>
      </c>
      <c r="I48" s="106"/>
      <c r="J48" s="106"/>
      <c r="K48" s="108"/>
      <c r="L48" s="116"/>
      <c r="O48"/>
      <c r="P48"/>
    </row>
    <row r="49" spans="1:16" ht="21">
      <c r="A49" s="122" t="s">
        <v>69</v>
      </c>
      <c r="B49" s="106">
        <f t="shared" si="2"/>
        <v>-38619.330000000016</v>
      </c>
      <c r="C49" s="106">
        <f t="shared" si="2"/>
        <v>-19749.809999999998</v>
      </c>
      <c r="D49" s="106">
        <f t="shared" si="2"/>
        <v>33951</v>
      </c>
      <c r="E49" s="106">
        <f t="shared" si="2"/>
        <v>944.2399999999907</v>
      </c>
      <c r="F49" s="106">
        <f t="shared" si="2"/>
        <v>71887.03999999998</v>
      </c>
      <c r="G49" s="106">
        <f t="shared" si="2"/>
        <v>47568.45999999996</v>
      </c>
      <c r="H49" s="106">
        <f t="shared" si="2"/>
        <v>34561.20999999996</v>
      </c>
      <c r="I49" s="106"/>
      <c r="J49" s="106"/>
      <c r="K49" s="108"/>
      <c r="L49" s="116"/>
      <c r="O49"/>
      <c r="P49"/>
    </row>
    <row r="50" spans="1:16" ht="21">
      <c r="A50" s="121" t="s">
        <v>70</v>
      </c>
      <c r="B50" s="106">
        <f t="shared" si="2"/>
        <v>6368.919999999984</v>
      </c>
      <c r="C50" s="106">
        <f t="shared" si="2"/>
        <v>-220.47000000000116</v>
      </c>
      <c r="D50" s="106">
        <f t="shared" si="2"/>
        <v>-2592.7999999999884</v>
      </c>
      <c r="E50" s="106">
        <f t="shared" si="2"/>
        <v>52576.45000000001</v>
      </c>
      <c r="F50" s="106">
        <f t="shared" si="2"/>
        <v>51154.47999999998</v>
      </c>
      <c r="G50" s="106">
        <f t="shared" si="2"/>
        <v>59296.73999999999</v>
      </c>
      <c r="H50" s="106">
        <f t="shared" si="2"/>
        <v>66745.84000000003</v>
      </c>
      <c r="I50" s="106"/>
      <c r="J50" s="106"/>
      <c r="K50" s="108"/>
      <c r="L50" s="116"/>
      <c r="O50"/>
      <c r="P50"/>
    </row>
    <row r="51" spans="1:16" ht="21">
      <c r="A51" s="122" t="s">
        <v>71</v>
      </c>
      <c r="B51" s="106">
        <f t="shared" si="2"/>
        <v>131647.81999999998</v>
      </c>
      <c r="C51" s="106">
        <f t="shared" si="2"/>
        <v>124143.70999999996</v>
      </c>
      <c r="D51" s="106">
        <f t="shared" si="2"/>
        <v>109938.04999999999</v>
      </c>
      <c r="E51" s="106">
        <f t="shared" si="2"/>
        <v>110303.29999999999</v>
      </c>
      <c r="F51" s="106">
        <f t="shared" si="2"/>
        <v>17491</v>
      </c>
      <c r="G51" s="106">
        <f t="shared" si="2"/>
        <v>-15577.309999999998</v>
      </c>
      <c r="H51" s="106">
        <f t="shared" si="2"/>
        <v>-18305.669999999984</v>
      </c>
      <c r="I51" s="106"/>
      <c r="J51" s="106"/>
      <c r="K51" s="108"/>
      <c r="L51" s="116"/>
      <c r="O51"/>
      <c r="P51"/>
    </row>
    <row r="52" spans="1:16" ht="21">
      <c r="A52" s="121" t="s">
        <v>72</v>
      </c>
      <c r="B52" s="106">
        <f aca="true" t="shared" si="3" ref="B52:G55">+B14-B33</f>
        <v>24563.559999999998</v>
      </c>
      <c r="C52" s="106">
        <f t="shared" si="3"/>
        <v>89617.23999999999</v>
      </c>
      <c r="D52" s="106">
        <f t="shared" si="3"/>
        <v>81910.73999999999</v>
      </c>
      <c r="E52" s="106">
        <f t="shared" si="3"/>
        <v>158772.27000000002</v>
      </c>
      <c r="F52" s="106">
        <f t="shared" si="3"/>
        <v>193111.15000000002</v>
      </c>
      <c r="G52" s="106">
        <f t="shared" si="3"/>
        <v>53930.82000000001</v>
      </c>
      <c r="H52" s="128"/>
      <c r="I52" s="128"/>
      <c r="J52" s="128"/>
      <c r="K52" s="108"/>
      <c r="L52" s="116"/>
      <c r="O52"/>
      <c r="P52"/>
    </row>
    <row r="53" spans="1:16" ht="21">
      <c r="A53" s="122" t="s">
        <v>73</v>
      </c>
      <c r="B53" s="106">
        <f t="shared" si="3"/>
        <v>89601.35999999999</v>
      </c>
      <c r="C53" s="106">
        <f t="shared" si="3"/>
        <v>-1725.3800000000047</v>
      </c>
      <c r="D53" s="106">
        <f t="shared" si="3"/>
        <v>25541.150000000023</v>
      </c>
      <c r="E53" s="106">
        <f t="shared" si="3"/>
        <v>97003.07</v>
      </c>
      <c r="F53" s="106">
        <f t="shared" si="3"/>
        <v>136776.34999999998</v>
      </c>
      <c r="G53" s="106">
        <f t="shared" si="3"/>
        <v>120011.93</v>
      </c>
      <c r="H53" s="128"/>
      <c r="I53" s="128"/>
      <c r="J53" s="128"/>
      <c r="K53" s="108"/>
      <c r="L53" s="116"/>
      <c r="O53"/>
      <c r="P53"/>
    </row>
    <row r="54" spans="1:16" ht="21">
      <c r="A54" s="121" t="s">
        <v>74</v>
      </c>
      <c r="B54" s="106">
        <f t="shared" si="3"/>
        <v>22365.830000000016</v>
      </c>
      <c r="C54" s="106">
        <f t="shared" si="3"/>
        <v>55984.20000000007</v>
      </c>
      <c r="D54" s="106">
        <f t="shared" si="3"/>
        <v>82881.85999999999</v>
      </c>
      <c r="E54" s="106">
        <f t="shared" si="3"/>
        <v>109032.39000000001</v>
      </c>
      <c r="F54" s="106">
        <f t="shared" si="3"/>
        <v>170802.69999999995</v>
      </c>
      <c r="G54" s="106">
        <f t="shared" si="3"/>
        <v>169341.41000000003</v>
      </c>
      <c r="H54" s="128"/>
      <c r="I54" s="128"/>
      <c r="J54" s="128"/>
      <c r="K54" s="108"/>
      <c r="L54" s="116"/>
      <c r="O54"/>
      <c r="P54"/>
    </row>
    <row r="55" spans="1:16" ht="21">
      <c r="A55" s="122" t="s">
        <v>75</v>
      </c>
      <c r="B55" s="106">
        <f t="shared" si="3"/>
        <v>-30589.5</v>
      </c>
      <c r="C55" s="106">
        <f t="shared" si="3"/>
        <v>-21755.76000000001</v>
      </c>
      <c r="D55" s="106">
        <f t="shared" si="3"/>
        <v>-12967.649999999994</v>
      </c>
      <c r="E55" s="106">
        <f t="shared" si="3"/>
        <v>-3039</v>
      </c>
      <c r="F55" s="106">
        <f t="shared" si="3"/>
        <v>10114.339999999997</v>
      </c>
      <c r="G55" s="106">
        <f t="shared" si="3"/>
        <v>-56225.169999999984</v>
      </c>
      <c r="H55" s="128"/>
      <c r="I55" s="128"/>
      <c r="J55" s="128"/>
      <c r="K55" s="108"/>
      <c r="L55" s="116"/>
      <c r="O55"/>
      <c r="P55"/>
    </row>
    <row r="56" spans="1:16" ht="21">
      <c r="A56" s="122" t="s">
        <v>77</v>
      </c>
      <c r="B56" s="123">
        <f aca="true" t="shared" si="4" ref="B56:H56">SUM(B44:B55)</f>
        <v>184376.0299999999</v>
      </c>
      <c r="C56" s="123">
        <f t="shared" si="4"/>
        <v>250484.01</v>
      </c>
      <c r="D56" s="123">
        <f t="shared" si="4"/>
        <v>275574.7799999999</v>
      </c>
      <c r="E56" s="123">
        <f t="shared" si="4"/>
        <v>694054.4800000001</v>
      </c>
      <c r="F56" s="123">
        <f t="shared" si="4"/>
        <v>571263.360779727</v>
      </c>
      <c r="G56" s="123">
        <f t="shared" si="4"/>
        <v>127186.49038971163</v>
      </c>
      <c r="H56" s="123">
        <f t="shared" si="4"/>
        <v>-82489.97999999998</v>
      </c>
      <c r="I56" s="123">
        <f>SUM(I44:I55)</f>
        <v>0</v>
      </c>
      <c r="J56" s="123">
        <f>SUM(J44:J55)</f>
        <v>0</v>
      </c>
      <c r="K56" s="123">
        <f>SUM(K44:K55)</f>
        <v>0</v>
      </c>
      <c r="L56" s="116"/>
      <c r="O56"/>
      <c r="P56"/>
    </row>
  </sheetData>
  <sheetProtection/>
  <mergeCells count="18">
    <mergeCell ref="A22:A24"/>
    <mergeCell ref="K22:K24"/>
    <mergeCell ref="B22:J22"/>
    <mergeCell ref="B23:J23"/>
    <mergeCell ref="A3:A5"/>
    <mergeCell ref="K3:K5"/>
    <mergeCell ref="B4:J4"/>
    <mergeCell ref="B3:J3"/>
    <mergeCell ref="A40:K40"/>
    <mergeCell ref="A21:K21"/>
    <mergeCell ref="A20:K20"/>
    <mergeCell ref="A1:K1"/>
    <mergeCell ref="A2:K2"/>
    <mergeCell ref="A41:A43"/>
    <mergeCell ref="B42:J42"/>
    <mergeCell ref="B41:J41"/>
    <mergeCell ref="K41:K43"/>
    <mergeCell ref="A39:K39"/>
  </mergeCells>
  <printOptions horizontalCentered="1"/>
  <pageMargins left="0.31496062992126" right="0.31496062992126" top="1.25" bottom="0.25" header="0.31496062992126" footer="0.31496062992126"/>
  <pageSetup fitToHeight="0" fitToWidth="1" horizontalDpi="300" verticalDpi="300" orientation="landscape" scale="87" r:id="rId1"/>
  <rowBreaks count="2" manualBreakCount="2">
    <brk id="18" max="255" man="1"/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ฉัuงงว่าฉัuเป็uใคs ก้ouxิu ต้uไม้ หsืollฟu</cp:lastModifiedBy>
  <cp:lastPrinted>2023-03-21T07:06:19Z</cp:lastPrinted>
  <dcterms:created xsi:type="dcterms:W3CDTF">2016-05-12T02:08:32Z</dcterms:created>
  <dcterms:modified xsi:type="dcterms:W3CDTF">2024-03-29T02:05:43Z</dcterms:modified>
  <cp:category/>
  <cp:version/>
  <cp:contentType/>
  <cp:contentStatus/>
</cp:coreProperties>
</file>