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60" windowHeight="9980" activeTab="9"/>
  </bookViews>
  <sheets>
    <sheet name="หอพักอู่ทอง" sheetId="1" r:id="rId1"/>
    <sheet name="มัฐยม" sheetId="2" r:id="rId2"/>
    <sheet name="ประถม" sheetId="3" r:id="rId3"/>
    <sheet name="ปฐมวัย" sheetId="4" r:id="rId4"/>
    <sheet name="บัณฑิตศึกษา" sheetId="5" r:id="rId5"/>
    <sheet name="สวนหลวง" sheetId="6" r:id="rId6"/>
    <sheet name="ตลาดนัด" sheetId="7" r:id="rId7"/>
    <sheet name="ภาคฤดูร้อน" sheetId="8" r:id="rId8"/>
    <sheet name="ศูนย์หนังสือ" sheetId="9" r:id="rId9"/>
    <sheet name="อื่นๆ" sheetId="10" r:id="rId10"/>
  </sheets>
  <definedNames>
    <definedName name="_xlnm.Print_Area" localSheetId="9">'อื่นๆ'!$A$1:$H$46</definedName>
  </definedNames>
  <calcPr fullCalcOnLoad="1"/>
</workbook>
</file>

<file path=xl/comments7.xml><?xml version="1.0" encoding="utf-8"?>
<comments xmlns="http://schemas.openxmlformats.org/spreadsheetml/2006/main">
  <authors>
    <author>ICT</author>
  </authors>
  <commentList>
    <comment ref="B13" authorId="0">
      <text>
        <r>
          <rPr>
            <b/>
            <sz val="9"/>
            <rFont val="Tahoma"/>
            <family val="0"/>
          </rPr>
          <t>ประมาณการรายรับเดือนละ 337600บาทต่อเดือน *12 เดือน</t>
        </r>
      </text>
    </comment>
    <comment ref="C13" authorId="0">
      <text>
        <r>
          <rPr>
            <b/>
            <sz val="9"/>
            <rFont val="Tahoma"/>
            <family val="0"/>
          </rPr>
          <t>ค่าใช้จ่ายเดือนละ 120,000 บาท*12 เดือน</t>
        </r>
      </text>
    </comment>
    <comment ref="D13" authorId="0">
      <text>
        <r>
          <rPr>
            <b/>
            <sz val="9"/>
            <rFont val="Tahoma"/>
            <family val="0"/>
          </rPr>
          <t>ประมาณการรายรับเฉลี่ยปี 2560 ระหว่างเดือน ต.ค.59-พ.ค.60</t>
        </r>
      </text>
    </comment>
  </commentList>
</comments>
</file>

<file path=xl/sharedStrings.xml><?xml version="1.0" encoding="utf-8"?>
<sst xmlns="http://schemas.openxmlformats.org/spreadsheetml/2006/main" count="526" uniqueCount="220">
  <si>
    <t>รวม 2 ภาคเรียน</t>
  </si>
  <si>
    <t>ระดับชั้น</t>
  </si>
  <si>
    <t>จำนวน(คน)</t>
  </si>
  <si>
    <t>อัตราค่าบำรุง(บาท)</t>
  </si>
  <si>
    <t>งบประมาณ</t>
  </si>
  <si>
    <t>เตรียมปฐมวัย (1)</t>
  </si>
  <si>
    <t>เตรียมปฐมวัย (2)</t>
  </si>
  <si>
    <t>ปฐมวัย 1/1</t>
  </si>
  <si>
    <t>ปฐมวัย 1/2</t>
  </si>
  <si>
    <t>ปฐมวัย 2/1</t>
  </si>
  <si>
    <t>ปฐมวัย 2/2</t>
  </si>
  <si>
    <t>ปฐมวัย 3/1</t>
  </si>
  <si>
    <t>ปฐมวัย 3/2</t>
  </si>
  <si>
    <t>รวม</t>
  </si>
  <si>
    <t>สำรองจ่าย   20%</t>
  </si>
  <si>
    <t>สาธารณูปโภค  10%</t>
  </si>
  <si>
    <t>คงเหลือตั้งงบประมาณรายจ่าย 70%</t>
  </si>
  <si>
    <t>ข้อมูล  ณ  วันที่……………………………………..</t>
  </si>
  <si>
    <t>ป.1</t>
  </si>
  <si>
    <t>ป.2</t>
  </si>
  <si>
    <t>ป.3</t>
  </si>
  <si>
    <t>ป.4</t>
  </si>
  <si>
    <t>ป.5</t>
  </si>
  <si>
    <t>ป.6</t>
  </si>
  <si>
    <t>สำรองจ่าย 20%</t>
  </si>
  <si>
    <t>สาธารณูปโภค 10%</t>
  </si>
  <si>
    <t>ชั้น ม.1</t>
  </si>
  <si>
    <t>ชั้น ม.3</t>
  </si>
  <si>
    <t>รวม ม.ต้น</t>
  </si>
  <si>
    <t>ชั้น ม.4</t>
  </si>
  <si>
    <t>ชั้น ม.5</t>
  </si>
  <si>
    <t>ชั้น ม.6</t>
  </si>
  <si>
    <t>รวม ม.ปลาย</t>
  </si>
  <si>
    <t>รวม ม.ต้น,ม.ปลาย</t>
  </si>
  <si>
    <t>รวมรับเงิน 100%</t>
  </si>
  <si>
    <t>ชั้น ม.2</t>
  </si>
  <si>
    <t>สาขา</t>
  </si>
  <si>
    <t>รวม 3 ภาคเรียน</t>
  </si>
  <si>
    <t>ค่าลงทะเบียน</t>
  </si>
  <si>
    <t>รวมทั้งสิ้น</t>
  </si>
  <si>
    <t>การบริหารการศึกษา</t>
  </si>
  <si>
    <t>การจัดการการเรียนรู้</t>
  </si>
  <si>
    <t>รัฐประศาสนศาสตร์</t>
  </si>
  <si>
    <t>มหาวิทยาลัยราชภัฏพระนครศรีอยุธยา</t>
  </si>
  <si>
    <t>โรงเรียนสาธิตปฐมวัย</t>
  </si>
  <si>
    <t>โรงเรียนประถมสาธิต</t>
  </si>
  <si>
    <t>โรงเรียนสาธิตมัธยม</t>
  </si>
  <si>
    <t>การจัดการศึกษาระดับบัณฑิตศึกษา (งบบันฑิตศึกษา)</t>
  </si>
  <si>
    <t>บริหารธุรกิจ จ-พ-ศ</t>
  </si>
  <si>
    <t>บริหารธุรกิจ ส-อา</t>
  </si>
  <si>
    <t>บริหารการศึกษา</t>
  </si>
  <si>
    <t>รวมปริญญาโท</t>
  </si>
  <si>
    <t>รวมปริญญาเอก</t>
  </si>
  <si>
    <t>รวมปริญญาโทและปริญญาเอก</t>
  </si>
  <si>
    <t>หอ</t>
  </si>
  <si>
    <t>ประเภทห้อง</t>
  </si>
  <si>
    <t>จำนวนห้อง</t>
  </si>
  <si>
    <t>จำนวนคน</t>
  </si>
  <si>
    <t>ค่าห้องพักคนละ/ภาคเรียน(4เดือน)</t>
  </si>
  <si>
    <t>ภาคเรียนที่</t>
  </si>
  <si>
    <t>รายรับ(บาท)</t>
  </si>
  <si>
    <t>ห้องเดี่ยว(พัดลม)</t>
  </si>
  <si>
    <t>ห้องคู่ 2 คน(พัดลม)</t>
  </si>
  <si>
    <t>ห้องคู่ 2 คน(ปรับอากาศ)</t>
  </si>
  <si>
    <t>หอพักนักศึกษา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</si>
  <si>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</si>
  <si>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</si>
  <si>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</si>
  <si>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</si>
  <si>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</si>
  <si>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</si>
  <si>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</si>
  <si>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</si>
  <si>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</si>
  <si>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</si>
  <si>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</si>
  <si>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</si>
  <si>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เดือน</t>
  </si>
  <si>
    <t>รวททั้งสิ้น</t>
  </si>
  <si>
    <t>ค่าบำรุงสถานที่จำหน่ายสินค้าบริเวณตลาดนัดวันเสาร์และวันอาทิตย์</t>
  </si>
  <si>
    <t>ค่าบริการ/คืน</t>
  </si>
  <si>
    <t>ผู้เข้าใช้บริการ</t>
  </si>
  <si>
    <t>ห้องสัมนา 40-50คน (ครึ่งวัน)</t>
  </si>
  <si>
    <t>ห้องสัมนา 50-80คน (ครึ่งวัน)</t>
  </si>
  <si>
    <t>ห้องสัมนา 50-80คน (เต็มวัน)</t>
  </si>
  <si>
    <t>ห้องสัมนา 40-50คน (เต็มวัน)</t>
  </si>
  <si>
    <t>ห้องสัมนา 80-100คน</t>
  </si>
  <si>
    <t>ห้องพักคู่ 2 คน</t>
  </si>
  <si>
    <t>ห้องพักรวม 5 คน</t>
  </si>
  <si>
    <t xml:space="preserve"> ศูนย์ฝึกปฏิบัติการวิชาชีพธุรกิจ ( อาคารสวนหลวง)</t>
  </si>
  <si>
    <t>ประเภทงบประมาณ</t>
  </si>
  <si>
    <t>จำนวนร้านค้า</t>
  </si>
  <si>
    <t>ประมาณการ</t>
  </si>
  <si>
    <t>สำรองจ่าย</t>
  </si>
  <si>
    <t xml:space="preserve">งบประมาณรายจ่าย </t>
  </si>
  <si>
    <t>งบประมาณรายจ่ายทั้งสิ้น</t>
  </si>
  <si>
    <t>รายรับ</t>
  </si>
  <si>
    <t>งบดำเนินงาน</t>
  </si>
  <si>
    <t>ค่าสาธารณูปโภค</t>
  </si>
  <si>
    <t>ตลาดใหญ่</t>
  </si>
  <si>
    <t>ตลาดเหมา</t>
  </si>
  <si>
    <t>ร้านค้าจร</t>
  </si>
  <si>
    <t>(บาท)</t>
  </si>
  <si>
    <t>งบเงินรายได้จากเงินผลประโยชน์</t>
  </si>
  <si>
    <t xml:space="preserve">          การใช้ประโยชน์จากที่ราชพัสดุ </t>
  </si>
  <si>
    <t>รายการ</t>
  </si>
  <si>
    <t>ภาคฤดูร้อน</t>
  </si>
  <si>
    <t>จำนวน</t>
  </si>
  <si>
    <t>ค่าบำรุง</t>
  </si>
  <si>
    <t>ค่ากิจกรรม</t>
  </si>
  <si>
    <t>ค่า</t>
  </si>
  <si>
    <t>ธรรมเนียม</t>
  </si>
  <si>
    <t>การศึกษา</t>
  </si>
  <si>
    <t>กีฬา</t>
  </si>
  <si>
    <t>พยาบาล</t>
  </si>
  <si>
    <t>ห้องสมุด</t>
  </si>
  <si>
    <t>IT</t>
  </si>
  <si>
    <t>หน่วยกิต</t>
  </si>
  <si>
    <t>พิเศษ</t>
  </si>
  <si>
    <t>ภาคเรียนละ</t>
  </si>
  <si>
    <t>ปีละ</t>
  </si>
  <si>
    <t>ภารเรียนละ</t>
  </si>
  <si>
    <t>ปีการศึกษาละ</t>
  </si>
  <si>
    <t>บรรยาย
หน่วยกิตละ</t>
  </si>
  <si>
    <t>ภาคปฏิบัติหน่วยกิตละ</t>
  </si>
  <si>
    <t>เฉลี่ยภาคเรียนละ</t>
  </si>
  <si>
    <t>คน</t>
  </si>
  <si>
    <t>บรรยาย</t>
  </si>
  <si>
    <t>ปฏิบัติ</t>
  </si>
  <si>
    <t>ฝึกงาน</t>
  </si>
  <si>
    <t>นักศึกษาการจัดการภาคฤดูร้อน</t>
  </si>
  <si>
    <t>ค่าสาธารณูปโภค 10%</t>
  </si>
  <si>
    <t>จัดสรร 70%</t>
  </si>
  <si>
    <t>ตั้งงบประมาณ 80%</t>
  </si>
  <si>
    <t>*ข้อมูลการประมาจำนวนนักศึกษาการจากกองบริกาการศึกษา</t>
  </si>
  <si>
    <t>*ข้อมูล ณ วันที่....................</t>
  </si>
  <si>
    <t>ประมาณการรายได้งบการจัดการภาคฤดูร้อน</t>
  </si>
  <si>
    <t>ข้อมูลทางการเงินศูนย์หนังสือมหาวิทยาลัยราชภัฏพระนครศรีอยุธยา</t>
  </si>
  <si>
    <t>รายรับจริง</t>
  </si>
  <si>
    <t>ประมาณการรายรับ</t>
  </si>
  <si>
    <t xml:space="preserve">ประจำปีงบประมาณ พ.ศ. </t>
  </si>
  <si>
    <t>รายจ่ายจริง</t>
  </si>
  <si>
    <t>ประมาณการรายจ่าย</t>
  </si>
  <si>
    <t>กำไรจริง</t>
  </si>
  <si>
    <t>ประมาณการกำไร</t>
  </si>
  <si>
    <t xml:space="preserve">ประจำปีงบประมาณ พ.ศ 2553 - 2561 </t>
  </si>
  <si>
    <t>ประมาณการเงินรายได้ของมหาวิทยาลัย</t>
  </si>
  <si>
    <t>ปริมาณรายการ</t>
  </si>
  <si>
    <t>อัตราค่าเช่า</t>
  </si>
  <si>
    <t>ระยะเวลา/จำนวนครั้งในการบริการ</t>
  </si>
  <si>
    <t>รวมเป็นเงินงบประมาณ</t>
  </si>
  <si>
    <t>หมายเหตุ</t>
  </si>
  <si>
    <t>ปริมาณ</t>
  </si>
  <si>
    <t>หน่วย</t>
  </si>
  <si>
    <t>จำนวนเงิน</t>
  </si>
  <si>
    <t>หน่วยนับ</t>
  </si>
  <si>
    <t>อัตรา</t>
  </si>
  <si>
    <t>ซุ้มกาแฟ</t>
  </si>
  <si>
    <t>- อาคาร 1 (คมส)</t>
  </si>
  <si>
    <t>ร้าน</t>
  </si>
  <si>
    <t>บาท</t>
  </si>
  <si>
    <t>- หน้าสำนักวิทยาบริการฯ</t>
  </si>
  <si>
    <t>- ข้างอาคาร 100 ปี</t>
  </si>
  <si>
    <t>- กองพัฒนานักศึกษา</t>
  </si>
  <si>
    <t>ซุ้มโค้ก</t>
  </si>
  <si>
    <t>- ข้างสนามฟุตบอล</t>
  </si>
  <si>
    <t>- ข้างฝ่ายยานพาหนะ</t>
  </si>
  <si>
    <t>- ข้างกองพัฒนานักศึกษา</t>
  </si>
  <si>
    <t>- ด้านหลังคณะวิทยาการจัดการ</t>
  </si>
  <si>
    <t>ร้านสะดวกซื้อ</t>
  </si>
  <si>
    <t>- ข้างสนามฟุตบอล (ดิเรก)</t>
  </si>
  <si>
    <t>- ร้าน 108 Shop</t>
  </si>
  <si>
    <t>ร้านถ่ายเอกสาร</t>
  </si>
  <si>
    <t>- ตรงข้างโรงอาหาร (ร้าน RY Copy One)</t>
  </si>
  <si>
    <t>- ตรงข้างโรงอาหาร (ร้านชัยพฤกษ์)</t>
  </si>
  <si>
    <t>- ด้านหลังคณะวิทยาการจัดการ (ร้านบ้านงาน)</t>
  </si>
  <si>
    <t>โรงอาหาร</t>
  </si>
  <si>
    <t>- อาคารเรียนและปฏิบัติการรวม</t>
  </si>
  <si>
    <t>- อาคารโรงอาหารด้านข้างหอประชุม</t>
  </si>
  <si>
    <t>รายได้อื่น ๆ</t>
  </si>
  <si>
    <t>- ร้านนุชจรินทร์ (ข้างร้านดอกไม้ใบตองเดิม)</t>
  </si>
  <si>
    <t>- ร้านกัญญา (ข้างร้านดอกไม้ใบตองเดิม)</t>
  </si>
  <si>
    <t>- ร้านซ่อมนาฬิกา (ข้างโรงอาหาร)</t>
  </si>
  <si>
    <t>- ส่วนแบ่งจากจุดบริการเครื่องชั่งน้ำหนัก (30% จากรายรับ)</t>
  </si>
  <si>
    <t>ยอดประมาณการ</t>
  </si>
  <si>
    <t>- ส่วนแบ่งจากการจำหน่ายน้ำดื่มราชภัฏฯ</t>
  </si>
  <si>
    <t>งาน</t>
  </si>
  <si>
    <t>- ตู้กดเงินสด (บริเวณด้านหน้ามหาวิทยาลัย)</t>
  </si>
  <si>
    <t>เครื่อง</t>
  </si>
  <si>
    <t>- หอประชุมมหาวิทยาลัย</t>
  </si>
  <si>
    <t>- ห้องประชุม อาคาร 100 ปี</t>
  </si>
  <si>
    <t>- ห้องประชุม 317</t>
  </si>
  <si>
    <t>- ห้องประชุมต้นโมก</t>
  </si>
  <si>
    <t>- ห้องประชุมศูนย์การศึกษาพิเศษ</t>
  </si>
  <si>
    <t>- ห้องประชุมคณะวิทยาการจัดการ</t>
  </si>
  <si>
    <t>- ห้องประชุมศูนย์วิทยาศาสตร์</t>
  </si>
  <si>
    <t>- สนามกีฬา</t>
  </si>
  <si>
    <t>การให้บริการห้องประชุม/สนามกีฬา</t>
  </si>
  <si>
    <t>- สถานที่จัดสอบ</t>
  </si>
  <si>
    <t>- ค่าบริการถ่ายเอกสาร</t>
  </si>
  <si>
    <t>- ค่าบริการจากการให้เช่าพื้นที่</t>
  </si>
  <si>
    <t>รายได้ของสำนักวิทบริการและเทศโนโลยีสารสนเทศ</t>
  </si>
  <si>
    <t>- ค่าบริการจากการจัดสถานที่สอบ</t>
  </si>
  <si>
    <t>ประจำปีงบประมาณ 2565</t>
  </si>
  <si>
    <t>ประมาณการรายรับ ประจำปีงบประมาณ พ.ศ.2565</t>
  </si>
  <si>
    <t xml:space="preserve"> 2/2564</t>
  </si>
  <si>
    <t xml:space="preserve"> 1/2565</t>
  </si>
  <si>
    <t>ภาคเรียนที่ 2/2564</t>
  </si>
  <si>
    <t>ภาคเรียนที่ 1/2565</t>
  </si>
  <si>
    <t>ภาคเรียนที่  2/2564</t>
  </si>
  <si>
    <t>ภาค1/65</t>
  </si>
  <si>
    <t>ภาค3/64</t>
  </si>
  <si>
    <t>ภาค2/64</t>
  </si>
  <si>
    <t>เข้าปี 65</t>
  </si>
  <si>
    <t>เข้าปี 64</t>
  </si>
  <si>
    <t>เข้าปี 63</t>
  </si>
  <si>
    <t>เข้าปี 52</t>
  </si>
  <si>
    <t xml:space="preserve">          -  ตลาดนัด</t>
  </si>
  <si>
    <t xml:space="preserve">          -  โรงอาหาร</t>
  </si>
  <si>
    <t>ประจำปีงบประมาณ พ.ศ.2565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</si>
</sst>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4"/>
      <name val="CordiaUPC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family val="0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9"/>
      <name val="Tahoma"/>
      <family val="0"/>
    </font>
    <font>
      <b/>
      <sz val="10"/>
      <name val="Arial"/>
      <family val="2"/>
    </font>
    <font>
      <sz val="18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5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6600CC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6"/>
      <color theme="0"/>
      <name val="TH SarabunPSK"/>
      <family val="2"/>
    </font>
    <font>
      <b/>
      <sz val="8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7" borderId="0" applyNumberFormat="0" applyBorder="0" applyAlignment="0" applyProtection="0"/>
    <xf numFmtId="0" fontId="39" fillId="27" borderId="0" applyNumberFormat="0" applyBorder="0" applyAlignment="0" applyProtection="0"/>
    <xf numFmtId="0" fontId="2" fillId="19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9" fontId="3" fillId="0" borderId="0">
      <alignment/>
      <protection/>
    </xf>
    <xf numFmtId="0" fontId="39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39" fillId="38" borderId="0" applyNumberFormat="0" applyBorder="0" applyAlignment="0" applyProtection="0"/>
    <xf numFmtId="0" fontId="2" fillId="39" borderId="0" applyNumberFormat="0" applyBorder="0" applyAlignment="0" applyProtection="0"/>
    <xf numFmtId="0" fontId="39" fillId="40" borderId="0" applyNumberFormat="0" applyBorder="0" applyAlignment="0" applyProtection="0"/>
    <xf numFmtId="0" fontId="2" fillId="29" borderId="0" applyNumberFormat="0" applyBorder="0" applyAlignment="0" applyProtection="0"/>
    <xf numFmtId="0" fontId="39" fillId="41" borderId="0" applyNumberFormat="0" applyBorder="0" applyAlignment="0" applyProtection="0"/>
    <xf numFmtId="0" fontId="2" fillId="31" borderId="0" applyNumberFormat="0" applyBorder="0" applyAlignment="0" applyProtection="0"/>
    <xf numFmtId="0" fontId="39" fillId="42" borderId="0" applyNumberFormat="0" applyBorder="0" applyAlignment="0" applyProtection="0"/>
    <xf numFmtId="0" fontId="2" fillId="43" borderId="0" applyNumberFormat="0" applyBorder="0" applyAlignment="0" applyProtection="0"/>
    <xf numFmtId="0" fontId="40" fillId="44" borderId="0" applyNumberFormat="0" applyBorder="0" applyAlignment="0" applyProtection="0"/>
    <xf numFmtId="0" fontId="4" fillId="5" borderId="0" applyNumberFormat="0" applyBorder="0" applyAlignment="0" applyProtection="0"/>
    <xf numFmtId="0" fontId="41" fillId="45" borderId="1" applyNumberFormat="0" applyAlignment="0" applyProtection="0"/>
    <xf numFmtId="0" fontId="5" fillId="46" borderId="2" applyNumberFormat="0" applyAlignment="0" applyProtection="0"/>
    <xf numFmtId="0" fontId="42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5" applyNumberFormat="0" applyAlignment="0" applyProtection="0"/>
    <xf numFmtId="0" fontId="10" fillId="0" borderId="6">
      <alignment horizontal="left" vertical="center"/>
      <protection/>
    </xf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50" borderId="1" applyNumberFormat="0" applyAlignment="0" applyProtection="0"/>
    <xf numFmtId="0" fontId="15" fillId="13" borderId="2" applyNumberFormat="0" applyAlignment="0" applyProtection="0"/>
    <xf numFmtId="0" fontId="49" fillId="0" borderId="13" applyNumberFormat="0" applyFill="0" applyAlignment="0" applyProtection="0"/>
    <xf numFmtId="0" fontId="16" fillId="0" borderId="14" applyNumberFormat="0" applyFill="0" applyAlignment="0" applyProtection="0"/>
    <xf numFmtId="0" fontId="50" fillId="51" borderId="0" applyNumberFormat="0" applyBorder="0" applyAlignment="0" applyProtection="0"/>
    <xf numFmtId="0" fontId="17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5" applyNumberFormat="0" applyFont="0" applyAlignment="0" applyProtection="0"/>
    <xf numFmtId="0" fontId="7" fillId="54" borderId="16" applyNumberFormat="0" applyFont="0" applyAlignment="0" applyProtection="0"/>
    <xf numFmtId="0" fontId="51" fillId="45" borderId="17" applyNumberFormat="0" applyAlignment="0" applyProtection="0"/>
    <xf numFmtId="0" fontId="18" fillId="46" borderId="1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21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4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>
      <alignment/>
      <protection/>
    </xf>
  </cellStyleXfs>
  <cellXfs count="324">
    <xf numFmtId="0" fontId="0" fillId="0" borderId="0" xfId="0" applyFont="1" applyAlignment="1">
      <alignment/>
    </xf>
    <xf numFmtId="0" fontId="55" fillId="0" borderId="0" xfId="129" applyFont="1">
      <alignment/>
      <protection/>
    </xf>
    <xf numFmtId="0" fontId="24" fillId="12" borderId="21" xfId="129" applyFont="1" applyFill="1" applyBorder="1" applyAlignment="1">
      <alignment horizontal="center"/>
      <protection/>
    </xf>
    <xf numFmtId="3" fontId="25" fillId="12" borderId="21" xfId="129" applyNumberFormat="1" applyFont="1" applyFill="1" applyBorder="1" applyAlignment="1">
      <alignment horizontal="center"/>
      <protection/>
    </xf>
    <xf numFmtId="3" fontId="24" fillId="12" borderId="21" xfId="129" applyNumberFormat="1" applyFont="1" applyFill="1" applyBorder="1" applyAlignment="1">
      <alignment horizontal="center"/>
      <protection/>
    </xf>
    <xf numFmtId="0" fontId="56" fillId="12" borderId="21" xfId="129" applyFont="1" applyFill="1" applyBorder="1" applyAlignment="1">
      <alignment horizontal="center"/>
      <protection/>
    </xf>
    <xf numFmtId="0" fontId="26" fillId="12" borderId="21" xfId="129" applyFont="1" applyFill="1" applyBorder="1" applyAlignment="1">
      <alignment horizontal="center"/>
      <protection/>
    </xf>
    <xf numFmtId="0" fontId="26" fillId="0" borderId="21" xfId="129" applyFont="1" applyBorder="1" applyAlignment="1">
      <alignment horizontal="center"/>
      <protection/>
    </xf>
    <xf numFmtId="3" fontId="26" fillId="0" borderId="21" xfId="129" applyNumberFormat="1" applyFont="1" applyBorder="1" applyAlignment="1">
      <alignment horizontal="right"/>
      <protection/>
    </xf>
    <xf numFmtId="3" fontId="26" fillId="0" borderId="21" xfId="129" applyNumberFormat="1" applyFont="1" applyBorder="1" applyAlignment="1">
      <alignment horizontal="center"/>
      <protection/>
    </xf>
    <xf numFmtId="3" fontId="55" fillId="0" borderId="21" xfId="129" applyNumberFormat="1" applyFont="1" applyBorder="1" applyAlignment="1">
      <alignment horizontal="center"/>
      <protection/>
    </xf>
    <xf numFmtId="3" fontId="55" fillId="0" borderId="21" xfId="129" applyNumberFormat="1" applyFont="1" applyBorder="1">
      <alignment/>
      <protection/>
    </xf>
    <xf numFmtId="0" fontId="24" fillId="14" borderId="21" xfId="129" applyFont="1" applyFill="1" applyBorder="1" applyAlignment="1">
      <alignment horizontal="center"/>
      <protection/>
    </xf>
    <xf numFmtId="3" fontId="24" fillId="14" borderId="21" xfId="129" applyNumberFormat="1" applyFont="1" applyFill="1" applyBorder="1" applyAlignment="1">
      <alignment horizontal="right"/>
      <protection/>
    </xf>
    <xf numFmtId="3" fontId="24" fillId="14" borderId="21" xfId="129" applyNumberFormat="1" applyFont="1" applyFill="1" applyBorder="1" applyAlignment="1">
      <alignment horizontal="center"/>
      <protection/>
    </xf>
    <xf numFmtId="3" fontId="56" fillId="14" borderId="21" xfId="129" applyNumberFormat="1" applyFont="1" applyFill="1" applyBorder="1" applyAlignment="1">
      <alignment horizontal="center"/>
      <protection/>
    </xf>
    <xf numFmtId="3" fontId="56" fillId="14" borderId="21" xfId="129" applyNumberFormat="1" applyFont="1" applyFill="1" applyBorder="1" applyAlignment="1">
      <alignment horizontal="right"/>
      <protection/>
    </xf>
    <xf numFmtId="3" fontId="56" fillId="14" borderId="21" xfId="129" applyNumberFormat="1" applyFont="1" applyFill="1" applyBorder="1">
      <alignment/>
      <protection/>
    </xf>
    <xf numFmtId="204" fontId="24" fillId="55" borderId="21" xfId="92" applyNumberFormat="1" applyFont="1" applyFill="1" applyBorder="1" applyAlignment="1">
      <alignment horizontal="center"/>
    </xf>
    <xf numFmtId="204" fontId="56" fillId="55" borderId="21" xfId="92" applyNumberFormat="1" applyFont="1" applyFill="1" applyBorder="1" applyAlignment="1">
      <alignment/>
    </xf>
    <xf numFmtId="204" fontId="56" fillId="56" borderId="21" xfId="92" applyNumberFormat="1" applyFont="1" applyFill="1" applyBorder="1" applyAlignment="1">
      <alignment/>
    </xf>
    <xf numFmtId="3" fontId="55" fillId="0" borderId="0" xfId="129" applyNumberFormat="1" applyFont="1">
      <alignment/>
      <protection/>
    </xf>
    <xf numFmtId="3" fontId="55" fillId="0" borderId="0" xfId="129" applyNumberFormat="1" applyFont="1" applyAlignment="1">
      <alignment horizontal="center"/>
      <protection/>
    </xf>
    <xf numFmtId="0" fontId="57" fillId="0" borderId="0" xfId="129" applyFont="1">
      <alignment/>
      <protection/>
    </xf>
    <xf numFmtId="204" fontId="56" fillId="12" borderId="21" xfId="92" applyNumberFormat="1" applyFont="1" applyFill="1" applyBorder="1" applyAlignment="1">
      <alignment horizontal="center" shrinkToFit="1"/>
    </xf>
    <xf numFmtId="0" fontId="58" fillId="12" borderId="21" xfId="129" applyFont="1" applyFill="1" applyBorder="1" applyAlignment="1">
      <alignment horizontal="center"/>
      <protection/>
    </xf>
    <xf numFmtId="0" fontId="58" fillId="0" borderId="21" xfId="129" applyFont="1" applyBorder="1" applyAlignment="1">
      <alignment horizontal="center"/>
      <protection/>
    </xf>
    <xf numFmtId="204" fontId="58" fillId="0" borderId="21" xfId="92" applyNumberFormat="1" applyFont="1" applyBorder="1" applyAlignment="1">
      <alignment horizontal="right"/>
    </xf>
    <xf numFmtId="204" fontId="58" fillId="0" borderId="21" xfId="92" applyNumberFormat="1" applyFont="1" applyBorder="1" applyAlignment="1">
      <alignment/>
    </xf>
    <xf numFmtId="3" fontId="58" fillId="0" borderId="21" xfId="92" applyNumberFormat="1" applyFont="1" applyBorder="1" applyAlignment="1">
      <alignment/>
    </xf>
    <xf numFmtId="0" fontId="58" fillId="12" borderId="21" xfId="129" applyFont="1" applyFill="1" applyBorder="1" applyAlignment="1">
      <alignment horizontal="center" vertical="center"/>
      <protection/>
    </xf>
    <xf numFmtId="0" fontId="58" fillId="14" borderId="21" xfId="129" applyFont="1" applyFill="1" applyBorder="1" applyAlignment="1">
      <alignment horizontal="center" vertical="center"/>
      <protection/>
    </xf>
    <xf numFmtId="0" fontId="58" fillId="14" borderId="21" xfId="129" applyFont="1" applyFill="1" applyBorder="1" applyAlignment="1">
      <alignment horizontal="center"/>
      <protection/>
    </xf>
    <xf numFmtId="204" fontId="58" fillId="14" borderId="21" xfId="92" applyNumberFormat="1" applyFont="1" applyFill="1" applyBorder="1" applyAlignment="1">
      <alignment horizontal="right"/>
    </xf>
    <xf numFmtId="204" fontId="58" fillId="14" borderId="21" xfId="92" applyNumberFormat="1" applyFont="1" applyFill="1" applyBorder="1" applyAlignment="1">
      <alignment/>
    </xf>
    <xf numFmtId="3" fontId="58" fillId="14" borderId="21" xfId="92" applyNumberFormat="1" applyFont="1" applyFill="1" applyBorder="1" applyAlignment="1">
      <alignment/>
    </xf>
    <xf numFmtId="0" fontId="58" fillId="12" borderId="22" xfId="129" applyFont="1" applyFill="1" applyBorder="1" applyAlignment="1">
      <alignment horizontal="center"/>
      <protection/>
    </xf>
    <xf numFmtId="0" fontId="58" fillId="0" borderId="21" xfId="129" applyFont="1" applyFill="1" applyBorder="1" applyAlignment="1">
      <alignment horizontal="center"/>
      <protection/>
    </xf>
    <xf numFmtId="3" fontId="58" fillId="0" borderId="21" xfId="129" applyNumberFormat="1" applyFont="1" applyBorder="1" applyAlignment="1">
      <alignment horizontal="right"/>
      <protection/>
    </xf>
    <xf numFmtId="3" fontId="58" fillId="14" borderId="21" xfId="129" applyNumberFormat="1" applyFont="1" applyFill="1" applyBorder="1" applyAlignment="1">
      <alignment horizontal="right"/>
      <protection/>
    </xf>
    <xf numFmtId="0" fontId="58" fillId="0" borderId="0" xfId="129" applyFont="1">
      <alignment/>
      <protection/>
    </xf>
    <xf numFmtId="0" fontId="58" fillId="0" borderId="0" xfId="129" applyFont="1" applyAlignment="1">
      <alignment horizontal="center"/>
      <protection/>
    </xf>
    <xf numFmtId="0" fontId="55" fillId="0" borderId="0" xfId="129" applyFont="1" applyAlignment="1">
      <alignment horizontal="center"/>
      <protection/>
    </xf>
    <xf numFmtId="203" fontId="56" fillId="12" borderId="21" xfId="92" applyNumberFormat="1" applyFont="1" applyFill="1" applyBorder="1" applyAlignment="1">
      <alignment horizontal="center" shrinkToFit="1"/>
    </xf>
    <xf numFmtId="0" fontId="56" fillId="12" borderId="21" xfId="129" applyFont="1" applyFill="1" applyBorder="1" applyAlignment="1">
      <alignment horizontal="center" shrinkToFit="1"/>
      <protection/>
    </xf>
    <xf numFmtId="203" fontId="56" fillId="12" borderId="0" xfId="92" applyNumberFormat="1" applyFont="1" applyFill="1" applyAlignment="1">
      <alignment horizontal="center" shrinkToFit="1"/>
    </xf>
    <xf numFmtId="0" fontId="55" fillId="0" borderId="21" xfId="129" applyFont="1" applyBorder="1" applyAlignment="1">
      <alignment horizontal="center"/>
      <protection/>
    </xf>
    <xf numFmtId="204" fontId="55" fillId="0" borderId="21" xfId="92" applyNumberFormat="1" applyFont="1" applyBorder="1" applyAlignment="1">
      <alignment/>
    </xf>
    <xf numFmtId="204" fontId="55" fillId="0" borderId="0" xfId="92" applyNumberFormat="1" applyFont="1" applyAlignment="1">
      <alignment/>
    </xf>
    <xf numFmtId="0" fontId="55" fillId="12" borderId="21" xfId="129" applyFont="1" applyFill="1" applyBorder="1" applyAlignment="1">
      <alignment horizontal="center"/>
      <protection/>
    </xf>
    <xf numFmtId="0" fontId="55" fillId="0" borderId="0" xfId="129" applyFont="1" applyBorder="1">
      <alignment/>
      <protection/>
    </xf>
    <xf numFmtId="0" fontId="55" fillId="0" borderId="0" xfId="129" applyFont="1" applyBorder="1" applyAlignment="1">
      <alignment horizontal="center"/>
      <protection/>
    </xf>
    <xf numFmtId="0" fontId="59" fillId="14" borderId="21" xfId="129" applyFont="1" applyFill="1" applyBorder="1" applyAlignment="1">
      <alignment horizontal="center"/>
      <protection/>
    </xf>
    <xf numFmtId="203" fontId="60" fillId="12" borderId="21" xfId="92" applyNumberFormat="1" applyFont="1" applyFill="1" applyBorder="1" applyAlignment="1">
      <alignment horizontal="center" shrinkToFit="1"/>
    </xf>
    <xf numFmtId="0" fontId="60" fillId="12" borderId="21" xfId="129" applyFont="1" applyFill="1" applyBorder="1" applyAlignment="1">
      <alignment horizontal="center" shrinkToFit="1"/>
      <protection/>
    </xf>
    <xf numFmtId="204" fontId="60" fillId="12" borderId="21" xfId="92" applyNumberFormat="1" applyFont="1" applyFill="1" applyBorder="1" applyAlignment="1">
      <alignment horizontal="center" shrinkToFit="1"/>
    </xf>
    <xf numFmtId="203" fontId="60" fillId="12" borderId="0" xfId="92" applyNumberFormat="1" applyFont="1" applyFill="1" applyAlignment="1">
      <alignment horizontal="center" shrinkToFit="1"/>
    </xf>
    <xf numFmtId="0" fontId="58" fillId="0" borderId="0" xfId="129" applyFont="1" applyFill="1">
      <alignment/>
      <protection/>
    </xf>
    <xf numFmtId="0" fontId="58" fillId="0" borderId="0" xfId="129" applyFont="1" applyBorder="1">
      <alignment/>
      <protection/>
    </xf>
    <xf numFmtId="0" fontId="58" fillId="0" borderId="0" xfId="129" applyFont="1" applyBorder="1" applyAlignment="1">
      <alignment horizontal="center"/>
      <protection/>
    </xf>
    <xf numFmtId="204" fontId="58" fillId="0" borderId="0" xfId="92" applyNumberFormat="1" applyFont="1" applyBorder="1" applyAlignment="1">
      <alignment/>
    </xf>
    <xf numFmtId="204" fontId="58" fillId="0" borderId="0" xfId="92" applyNumberFormat="1" applyFont="1" applyAlignment="1">
      <alignment/>
    </xf>
    <xf numFmtId="3" fontId="59" fillId="14" borderId="21" xfId="129" applyNumberFormat="1" applyFont="1" applyFill="1" applyBorder="1" applyAlignment="1">
      <alignment horizontal="right"/>
      <protection/>
    </xf>
    <xf numFmtId="0" fontId="55" fillId="12" borderId="23" xfId="129" applyFont="1" applyFill="1" applyBorder="1" applyAlignment="1">
      <alignment horizontal="center" vertical="center"/>
      <protection/>
    </xf>
    <xf numFmtId="0" fontId="26" fillId="0" borderId="0" xfId="120" applyFont="1">
      <alignment/>
      <protection/>
    </xf>
    <xf numFmtId="0" fontId="26" fillId="0" borderId="21" xfId="120" applyFont="1" applyBorder="1">
      <alignment/>
      <protection/>
    </xf>
    <xf numFmtId="204" fontId="26" fillId="0" borderId="21" xfId="120" applyNumberFormat="1" applyFont="1" applyBorder="1">
      <alignment/>
      <protection/>
    </xf>
    <xf numFmtId="204" fontId="26" fillId="0" borderId="21" xfId="78" applyNumberFormat="1" applyFont="1" applyBorder="1" applyAlignment="1">
      <alignment/>
    </xf>
    <xf numFmtId="204" fontId="26" fillId="0" borderId="0" xfId="120" applyNumberFormat="1" applyFont="1">
      <alignment/>
      <protection/>
    </xf>
    <xf numFmtId="0" fontId="56" fillId="0" borderId="0" xfId="129" applyFont="1" applyBorder="1" applyAlignment="1">
      <alignment horizontal="center"/>
      <protection/>
    </xf>
    <xf numFmtId="0" fontId="24" fillId="0" borderId="21" xfId="120" applyFont="1" applyFill="1" applyBorder="1" applyAlignment="1">
      <alignment horizontal="center"/>
      <protection/>
    </xf>
    <xf numFmtId="0" fontId="24" fillId="10" borderId="21" xfId="120" applyFont="1" applyFill="1" applyBorder="1" applyAlignment="1">
      <alignment horizontal="center"/>
      <protection/>
    </xf>
    <xf numFmtId="204" fontId="26" fillId="10" borderId="21" xfId="78" applyNumberFormat="1" applyFont="1" applyFill="1" applyBorder="1" applyAlignment="1">
      <alignment/>
    </xf>
    <xf numFmtId="0" fontId="24" fillId="8" borderId="23" xfId="120" applyFont="1" applyFill="1" applyBorder="1" applyAlignment="1">
      <alignment horizontal="center"/>
      <protection/>
    </xf>
    <xf numFmtId="0" fontId="24" fillId="0" borderId="0" xfId="120" applyFont="1" applyFill="1" applyBorder="1" applyAlignment="1">
      <alignment horizontal="left"/>
      <protection/>
    </xf>
    <xf numFmtId="0" fontId="26" fillId="0" borderId="0" xfId="120" applyFont="1" applyFill="1">
      <alignment/>
      <protection/>
    </xf>
    <xf numFmtId="0" fontId="24" fillId="30" borderId="21" xfId="120" applyFont="1" applyFill="1" applyBorder="1" applyAlignment="1">
      <alignment horizontal="center"/>
      <protection/>
    </xf>
    <xf numFmtId="204" fontId="26" fillId="30" borderId="21" xfId="78" applyNumberFormat="1" applyFont="1" applyFill="1" applyBorder="1" applyAlignment="1">
      <alignment/>
    </xf>
    <xf numFmtId="204" fontId="24" fillId="55" borderId="24" xfId="92" applyNumberFormat="1" applyFont="1" applyFill="1" applyBorder="1" applyAlignment="1">
      <alignment horizontal="center"/>
    </xf>
    <xf numFmtId="204" fontId="56" fillId="55" borderId="24" xfId="92" applyNumberFormat="1" applyFont="1" applyFill="1" applyBorder="1" applyAlignment="1">
      <alignment/>
    </xf>
    <xf numFmtId="0" fontId="26" fillId="0" borderId="0" xfId="129" applyFont="1" applyBorder="1">
      <alignment/>
      <protection/>
    </xf>
    <xf numFmtId="3" fontId="26" fillId="0" borderId="0" xfId="129" applyNumberFormat="1" applyFont="1" applyBorder="1">
      <alignment/>
      <protection/>
    </xf>
    <xf numFmtId="3" fontId="26" fillId="0" borderId="0" xfId="129" applyNumberFormat="1" applyFont="1" applyBorder="1" applyAlignment="1">
      <alignment horizontal="right"/>
      <protection/>
    </xf>
    <xf numFmtId="3" fontId="26" fillId="0" borderId="0" xfId="129" applyNumberFormat="1" applyFont="1" applyBorder="1" applyAlignment="1">
      <alignment horizontal="center"/>
      <protection/>
    </xf>
    <xf numFmtId="204" fontId="59" fillId="14" borderId="23" xfId="129" applyNumberFormat="1" applyFont="1" applyFill="1" applyBorder="1" applyAlignment="1">
      <alignment horizontal="center"/>
      <protection/>
    </xf>
    <xf numFmtId="3" fontId="60" fillId="14" borderId="23" xfId="92" applyNumberFormat="1" applyFont="1" applyFill="1" applyBorder="1" applyAlignment="1">
      <alignment/>
    </xf>
    <xf numFmtId="0" fontId="59" fillId="14" borderId="23" xfId="129" applyFont="1" applyFill="1" applyBorder="1" applyAlignment="1">
      <alignment horizontal="center"/>
      <protection/>
    </xf>
    <xf numFmtId="3" fontId="60" fillId="14" borderId="23" xfId="129" applyNumberFormat="1" applyFont="1" applyFill="1" applyBorder="1" applyAlignment="1">
      <alignment horizontal="center"/>
      <protection/>
    </xf>
    <xf numFmtId="0" fontId="60" fillId="0" borderId="22" xfId="129" applyFont="1" applyFill="1" applyBorder="1" applyAlignment="1">
      <alignment horizontal="center"/>
      <protection/>
    </xf>
    <xf numFmtId="0" fontId="60" fillId="0" borderId="6" xfId="129" applyFont="1" applyFill="1" applyBorder="1" applyAlignment="1">
      <alignment horizontal="center"/>
      <protection/>
    </xf>
    <xf numFmtId="3" fontId="60" fillId="0" borderId="6" xfId="129" applyNumberFormat="1" applyFont="1" applyFill="1" applyBorder="1" applyAlignment="1">
      <alignment horizontal="right"/>
      <protection/>
    </xf>
    <xf numFmtId="3" fontId="60" fillId="0" borderId="6" xfId="129" applyNumberFormat="1" applyFont="1" applyFill="1" applyBorder="1" applyAlignment="1">
      <alignment horizontal="center"/>
      <protection/>
    </xf>
    <xf numFmtId="0" fontId="56" fillId="14" borderId="23" xfId="129" applyFont="1" applyFill="1" applyBorder="1" applyAlignment="1">
      <alignment horizontal="center"/>
      <protection/>
    </xf>
    <xf numFmtId="204" fontId="56" fillId="14" borderId="23" xfId="92" applyNumberFormat="1" applyFont="1" applyFill="1" applyBorder="1" applyAlignment="1">
      <alignment/>
    </xf>
    <xf numFmtId="0" fontId="55" fillId="14" borderId="23" xfId="129" applyFont="1" applyFill="1" applyBorder="1" applyAlignment="1">
      <alignment horizontal="center"/>
      <protection/>
    </xf>
    <xf numFmtId="204" fontId="55" fillId="14" borderId="23" xfId="92" applyNumberFormat="1" applyFont="1" applyFill="1" applyBorder="1" applyAlignment="1">
      <alignment/>
    </xf>
    <xf numFmtId="0" fontId="55" fillId="0" borderId="6" xfId="129" applyFont="1" applyBorder="1">
      <alignment/>
      <protection/>
    </xf>
    <xf numFmtId="0" fontId="55" fillId="0" borderId="6" xfId="129" applyFont="1" applyBorder="1" applyAlignment="1">
      <alignment horizontal="center"/>
      <protection/>
    </xf>
    <xf numFmtId="204" fontId="55" fillId="0" borderId="6" xfId="92" applyNumberFormat="1" applyFont="1" applyBorder="1" applyAlignment="1">
      <alignment/>
    </xf>
    <xf numFmtId="204" fontId="60" fillId="55" borderId="21" xfId="92" applyNumberFormat="1" applyFont="1" applyFill="1" applyBorder="1" applyAlignment="1">
      <alignment/>
    </xf>
    <xf numFmtId="204" fontId="60" fillId="0" borderId="21" xfId="92" applyNumberFormat="1" applyFont="1" applyFill="1" applyBorder="1" applyAlignment="1">
      <alignment/>
    </xf>
    <xf numFmtId="204" fontId="60" fillId="55" borderId="21" xfId="129" applyNumberFormat="1" applyFont="1" applyFill="1" applyBorder="1" applyAlignment="1">
      <alignment horizontal="center"/>
      <protection/>
    </xf>
    <xf numFmtId="204" fontId="58" fillId="55" borderId="21" xfId="129" applyNumberFormat="1" applyFont="1" applyFill="1" applyBorder="1">
      <alignment/>
      <protection/>
    </xf>
    <xf numFmtId="0" fontId="26" fillId="0" borderId="21" xfId="120" applyFont="1" applyBorder="1" applyAlignment="1">
      <alignment horizontal="center" vertical="center" wrapText="1"/>
      <protection/>
    </xf>
    <xf numFmtId="204" fontId="26" fillId="0" borderId="21" xfId="72" applyNumberFormat="1" applyFont="1" applyBorder="1" applyAlignment="1">
      <alignment horizontal="center" vertical="center" wrapText="1"/>
    </xf>
    <xf numFmtId="0" fontId="55" fillId="0" borderId="0" xfId="129" applyFont="1" applyAlignment="1">
      <alignment/>
      <protection/>
    </xf>
    <xf numFmtId="0" fontId="55" fillId="0" borderId="0" xfId="129" applyFont="1" applyBorder="1" applyAlignment="1">
      <alignment/>
      <protection/>
    </xf>
    <xf numFmtId="0" fontId="24" fillId="4" borderId="23" xfId="12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20" applyNumberFormat="1" applyFont="1">
      <alignment/>
      <protection/>
    </xf>
    <xf numFmtId="204" fontId="55" fillId="55" borderId="25" xfId="129" applyNumberFormat="1" applyFont="1" applyFill="1" applyBorder="1">
      <alignment/>
      <protection/>
    </xf>
    <xf numFmtId="204" fontId="56" fillId="0" borderId="25" xfId="92" applyNumberFormat="1" applyFont="1" applyFill="1" applyBorder="1" applyAlignment="1">
      <alignment/>
    </xf>
    <xf numFmtId="17" fontId="24" fillId="4" borderId="23" xfId="120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6" fillId="10" borderId="21" xfId="0" applyFont="1" applyFill="1" applyBorder="1" applyAlignment="1">
      <alignment horizontal="center"/>
    </xf>
    <xf numFmtId="0" fontId="24" fillId="0" borderId="21" xfId="120" applyFont="1" applyBorder="1" applyAlignment="1">
      <alignment horizontal="center" vertical="center" wrapText="1"/>
      <protection/>
    </xf>
    <xf numFmtId="0" fontId="56" fillId="2" borderId="23" xfId="0" applyFont="1" applyFill="1" applyBorder="1" applyAlignment="1">
      <alignment horizontal="center" vertical="center"/>
    </xf>
    <xf numFmtId="9" fontId="56" fillId="2" borderId="26" xfId="0" applyNumberFormat="1" applyFont="1" applyFill="1" applyBorder="1" applyAlignment="1">
      <alignment horizontal="center" vertical="center"/>
    </xf>
    <xf numFmtId="0" fontId="59" fillId="2" borderId="23" xfId="0" applyFont="1" applyFill="1" applyBorder="1" applyAlignment="1">
      <alignment horizontal="center" vertical="center"/>
    </xf>
    <xf numFmtId="0" fontId="56" fillId="2" borderId="24" xfId="0" applyFont="1" applyFill="1" applyBorder="1" applyAlignment="1">
      <alignment horizontal="center" vertical="center"/>
    </xf>
    <xf numFmtId="0" fontId="55" fillId="6" borderId="23" xfId="0" applyFont="1" applyFill="1" applyBorder="1" applyAlignment="1">
      <alignment/>
    </xf>
    <xf numFmtId="0" fontId="55" fillId="6" borderId="26" xfId="0" applyFont="1" applyFill="1" applyBorder="1" applyAlignment="1">
      <alignment horizontal="left"/>
    </xf>
    <xf numFmtId="0" fontId="55" fillId="6" borderId="26" xfId="0" applyFont="1" applyFill="1" applyBorder="1" applyAlignment="1">
      <alignment horizontal="center"/>
    </xf>
    <xf numFmtId="204" fontId="55" fillId="6" borderId="26" xfId="70" applyNumberFormat="1" applyFont="1" applyFill="1" applyBorder="1" applyAlignment="1">
      <alignment/>
    </xf>
    <xf numFmtId="204" fontId="55" fillId="6" borderId="26" xfId="0" applyNumberFormat="1" applyFont="1" applyFill="1" applyBorder="1" applyAlignment="1">
      <alignment/>
    </xf>
    <xf numFmtId="0" fontId="55" fillId="6" borderId="24" xfId="0" applyFont="1" applyFill="1" applyBorder="1" applyAlignment="1">
      <alignment/>
    </xf>
    <xf numFmtId="0" fontId="56" fillId="57" borderId="21" xfId="0" applyFont="1" applyFill="1" applyBorder="1" applyAlignment="1">
      <alignment horizontal="center"/>
    </xf>
    <xf numFmtId="204" fontId="56" fillId="57" borderId="21" xfId="70" applyNumberFormat="1" applyFont="1" applyFill="1" applyBorder="1" applyAlignment="1">
      <alignment/>
    </xf>
    <xf numFmtId="3" fontId="56" fillId="57" borderId="21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129" applyFont="1" applyAlignment="1">
      <alignment/>
      <protection/>
    </xf>
    <xf numFmtId="0" fontId="56" fillId="0" borderId="0" xfId="129" applyFont="1" applyBorder="1" applyAlignment="1">
      <alignment/>
      <protection/>
    </xf>
    <xf numFmtId="0" fontId="26" fillId="0" borderId="0" xfId="123" applyFont="1" applyFill="1">
      <alignment/>
      <protection/>
    </xf>
    <xf numFmtId="0" fontId="26" fillId="0" borderId="0" xfId="123" applyFont="1">
      <alignment/>
      <protection/>
    </xf>
    <xf numFmtId="0" fontId="24" fillId="0" borderId="21" xfId="123" applyFont="1" applyBorder="1" applyAlignment="1">
      <alignment horizontal="center" vertical="center"/>
      <protection/>
    </xf>
    <xf numFmtId="0" fontId="24" fillId="0" borderId="21" xfId="123" applyFont="1" applyBorder="1" applyAlignment="1">
      <alignment horizontal="center"/>
      <protection/>
    </xf>
    <xf numFmtId="0" fontId="26" fillId="0" borderId="0" xfId="123" applyFont="1" applyBorder="1">
      <alignment/>
      <protection/>
    </xf>
    <xf numFmtId="0" fontId="24" fillId="0" borderId="23" xfId="123" applyFont="1" applyBorder="1" applyAlignment="1">
      <alignment horizontal="center" vertical="center"/>
      <protection/>
    </xf>
    <xf numFmtId="0" fontId="24" fillId="0" borderId="26" xfId="123" applyFont="1" applyBorder="1" applyAlignment="1">
      <alignment horizontal="center" vertical="center"/>
      <protection/>
    </xf>
    <xf numFmtId="0" fontId="24" fillId="58" borderId="24" xfId="123" applyFont="1" applyFill="1" applyBorder="1" applyAlignment="1">
      <alignment horizontal="center" vertical="center"/>
      <protection/>
    </xf>
    <xf numFmtId="0" fontId="24" fillId="0" borderId="24" xfId="123" applyFont="1" applyBorder="1" applyAlignment="1">
      <alignment horizontal="center" vertical="center"/>
      <protection/>
    </xf>
    <xf numFmtId="0" fontId="24" fillId="0" borderId="21" xfId="123" applyFont="1" applyBorder="1" applyAlignment="1">
      <alignment horizontal="center" vertical="center" wrapText="1"/>
      <protection/>
    </xf>
    <xf numFmtId="0" fontId="24" fillId="0" borderId="24" xfId="123" applyFont="1" applyBorder="1" applyAlignment="1">
      <alignment horizontal="center" vertical="center" wrapText="1"/>
      <protection/>
    </xf>
    <xf numFmtId="0" fontId="24" fillId="58" borderId="21" xfId="123" applyFont="1" applyFill="1" applyBorder="1" applyAlignment="1">
      <alignment horizontal="center"/>
      <protection/>
    </xf>
    <xf numFmtId="204" fontId="26" fillId="58" borderId="21" xfId="123" applyNumberFormat="1" applyFont="1" applyFill="1" applyBorder="1" applyAlignment="1">
      <alignment horizontal="center"/>
      <protection/>
    </xf>
    <xf numFmtId="204" fontId="26" fillId="0" borderId="21" xfId="70" applyNumberFormat="1" applyFont="1" applyBorder="1" applyAlignment="1">
      <alignment horizontal="center"/>
    </xf>
    <xf numFmtId="204" fontId="26" fillId="59" borderId="21" xfId="70" applyNumberFormat="1" applyFont="1" applyFill="1" applyBorder="1" applyAlignment="1">
      <alignment horizontal="center"/>
    </xf>
    <xf numFmtId="0" fontId="24" fillId="0" borderId="21" xfId="123" applyFont="1" applyBorder="1" applyAlignment="1" quotePrefix="1">
      <alignment horizontal="center"/>
      <protection/>
    </xf>
    <xf numFmtId="204" fontId="24" fillId="0" borderId="21" xfId="70" applyNumberFormat="1" applyFont="1" applyBorder="1" applyAlignment="1" quotePrefix="1">
      <alignment/>
    </xf>
    <xf numFmtId="204" fontId="24" fillId="59" borderId="21" xfId="83" applyNumberFormat="1" applyFont="1" applyFill="1" applyBorder="1" applyAlignment="1">
      <alignment/>
    </xf>
    <xf numFmtId="0" fontId="26" fillId="0" borderId="0" xfId="123" applyFont="1" applyFill="1" applyBorder="1" quotePrefix="1">
      <alignment/>
      <protection/>
    </xf>
    <xf numFmtId="204" fontId="26" fillId="0" borderId="0" xfId="83" applyNumberFormat="1" applyFont="1" applyFill="1" applyBorder="1" applyAlignment="1" quotePrefix="1">
      <alignment/>
    </xf>
    <xf numFmtId="204" fontId="26" fillId="0" borderId="0" xfId="83" applyNumberFormat="1" applyFont="1" applyFill="1" applyBorder="1" applyAlignment="1">
      <alignment/>
    </xf>
    <xf numFmtId="0" fontId="26" fillId="0" borderId="0" xfId="126" applyFont="1" applyAlignment="1">
      <alignment horizontal="center"/>
      <protection/>
    </xf>
    <xf numFmtId="0" fontId="26" fillId="0" borderId="0" xfId="126" applyFont="1" applyAlignment="1">
      <alignment/>
      <protection/>
    </xf>
    <xf numFmtId="0" fontId="24" fillId="0" borderId="0" xfId="0" applyFont="1" applyFill="1" applyBorder="1" applyAlignment="1">
      <alignment/>
    </xf>
    <xf numFmtId="204" fontId="24" fillId="0" borderId="0" xfId="0" applyNumberFormat="1" applyFont="1" applyFill="1" applyBorder="1" applyAlignment="1">
      <alignment/>
    </xf>
    <xf numFmtId="204" fontId="24" fillId="59" borderId="21" xfId="70" applyNumberFormat="1" applyFont="1" applyFill="1" applyBorder="1" applyAlignment="1">
      <alignment/>
    </xf>
    <xf numFmtId="204" fontId="24" fillId="0" borderId="0" xfId="70" applyNumberFormat="1" applyFont="1" applyFill="1" applyBorder="1" applyAlignment="1">
      <alignment/>
    </xf>
    <xf numFmtId="204" fontId="24" fillId="52" borderId="21" xfId="70" applyNumberFormat="1" applyFont="1" applyFill="1" applyBorder="1" applyAlignment="1">
      <alignment/>
    </xf>
    <xf numFmtId="0" fontId="24" fillId="0" borderId="0" xfId="0" applyFont="1" applyFill="1" applyAlignment="1">
      <alignment/>
    </xf>
    <xf numFmtId="204" fontId="24" fillId="13" borderId="21" xfId="70" applyNumberFormat="1" applyFont="1" applyFill="1" applyBorder="1" applyAlignment="1">
      <alignment/>
    </xf>
    <xf numFmtId="0" fontId="24" fillId="60" borderId="21" xfId="0" applyFont="1" applyFill="1" applyBorder="1" applyAlignment="1">
      <alignment horizontal="left"/>
    </xf>
    <xf numFmtId="204" fontId="24" fillId="60" borderId="21" xfId="70" applyNumberFormat="1" applyFont="1" applyFill="1" applyBorder="1" applyAlignment="1">
      <alignment/>
    </xf>
    <xf numFmtId="0" fontId="26" fillId="0" borderId="0" xfId="126" applyFont="1" applyAlignment="1">
      <alignment horizontal="right"/>
      <protection/>
    </xf>
    <xf numFmtId="0" fontId="26" fillId="0" borderId="0" xfId="123" applyFont="1" applyAlignment="1">
      <alignment horizontal="right"/>
      <protection/>
    </xf>
    <xf numFmtId="43" fontId="55" fillId="0" borderId="0" xfId="72" applyFont="1" applyAlignment="1">
      <alignment/>
    </xf>
    <xf numFmtId="0" fontId="56" fillId="10" borderId="24" xfId="129" applyFont="1" applyFill="1" applyBorder="1" applyAlignment="1">
      <alignment horizontal="center"/>
      <protection/>
    </xf>
    <xf numFmtId="0" fontId="56" fillId="10" borderId="27" xfId="129" applyFont="1" applyFill="1" applyBorder="1" applyAlignment="1">
      <alignment horizontal="center" vertical="center" wrapText="1"/>
      <protection/>
    </xf>
    <xf numFmtId="205" fontId="56" fillId="10" borderId="21" xfId="0" applyNumberFormat="1" applyFont="1" applyFill="1" applyBorder="1" applyAlignment="1">
      <alignment horizontal="center"/>
    </xf>
    <xf numFmtId="43" fontId="55" fillId="0" borderId="21" xfId="72" applyFont="1" applyBorder="1" applyAlignment="1">
      <alignment horizontal="right"/>
    </xf>
    <xf numFmtId="43" fontId="56" fillId="0" borderId="21" xfId="72" applyFont="1" applyBorder="1" applyAlignment="1">
      <alignment horizontal="right"/>
    </xf>
    <xf numFmtId="43" fontId="55" fillId="0" borderId="21" xfId="72" applyFont="1" applyBorder="1" applyAlignment="1">
      <alignment/>
    </xf>
    <xf numFmtId="204" fontId="55" fillId="0" borderId="0" xfId="0" applyNumberFormat="1" applyFont="1" applyAlignment="1">
      <alignment/>
    </xf>
    <xf numFmtId="43" fontId="56" fillId="0" borderId="21" xfId="72" applyFont="1" applyFill="1" applyBorder="1" applyAlignment="1">
      <alignment horizontal="right"/>
    </xf>
    <xf numFmtId="204" fontId="55" fillId="0" borderId="0" xfId="72" applyNumberFormat="1" applyFont="1" applyAlignment="1">
      <alignment/>
    </xf>
    <xf numFmtId="43" fontId="56" fillId="10" borderId="21" xfId="72" applyFont="1" applyFill="1" applyBorder="1" applyAlignment="1">
      <alignment horizontal="right"/>
    </xf>
    <xf numFmtId="43" fontId="56" fillId="0" borderId="0" xfId="72" applyFont="1" applyAlignment="1">
      <alignment/>
    </xf>
    <xf numFmtId="204" fontId="56" fillId="0" borderId="0" xfId="0" applyNumberFormat="1" applyFont="1" applyAlignment="1">
      <alignment/>
    </xf>
    <xf numFmtId="204" fontId="55" fillId="0" borderId="0" xfId="129" applyNumberFormat="1" applyFont="1">
      <alignment/>
      <protection/>
    </xf>
    <xf numFmtId="43" fontId="0" fillId="0" borderId="0" xfId="72" applyFont="1" applyAlignment="1">
      <alignment/>
    </xf>
    <xf numFmtId="205" fontId="56" fillId="8" borderId="21" xfId="0" applyNumberFormat="1" applyFont="1" applyFill="1" applyBorder="1" applyAlignment="1">
      <alignment horizontal="center"/>
    </xf>
    <xf numFmtId="0" fontId="56" fillId="8" borderId="21" xfId="0" applyFont="1" applyFill="1" applyBorder="1" applyAlignment="1">
      <alignment horizontal="center"/>
    </xf>
    <xf numFmtId="43" fontId="56" fillId="8" borderId="21" xfId="72" applyFont="1" applyFill="1" applyBorder="1" applyAlignment="1">
      <alignment horizontal="right"/>
    </xf>
    <xf numFmtId="0" fontId="24" fillId="6" borderId="21" xfId="129" applyFont="1" applyFill="1" applyBorder="1" applyAlignment="1">
      <alignment horizontal="center"/>
      <protection/>
    </xf>
    <xf numFmtId="205" fontId="56" fillId="6" borderId="21" xfId="0" applyNumberFormat="1" applyFont="1" applyFill="1" applyBorder="1" applyAlignment="1">
      <alignment horizontal="center"/>
    </xf>
    <xf numFmtId="0" fontId="56" fillId="6" borderId="21" xfId="0" applyFont="1" applyFill="1" applyBorder="1" applyAlignment="1">
      <alignment horizontal="center"/>
    </xf>
    <xf numFmtId="43" fontId="56" fillId="6" borderId="21" xfId="72" applyFont="1" applyFill="1" applyBorder="1" applyAlignment="1">
      <alignment horizontal="right"/>
    </xf>
    <xf numFmtId="0" fontId="28" fillId="0" borderId="0" xfId="0" applyFont="1" applyAlignment="1">
      <alignment/>
    </xf>
    <xf numFmtId="0" fontId="24" fillId="8" borderId="28" xfId="129" applyFont="1" applyFill="1" applyBorder="1" applyAlignment="1">
      <alignment horizontal="center"/>
      <protection/>
    </xf>
    <xf numFmtId="0" fontId="56" fillId="10" borderId="25" xfId="129" applyFont="1" applyFill="1" applyBorder="1" applyAlignment="1">
      <alignment horizontal="center" vertical="center" wrapText="1"/>
      <protection/>
    </xf>
    <xf numFmtId="0" fontId="24" fillId="8" borderId="24" xfId="129" applyFont="1" applyFill="1" applyBorder="1" applyAlignment="1">
      <alignment horizontal="center"/>
      <protection/>
    </xf>
    <xf numFmtId="43" fontId="55" fillId="0" borderId="21" xfId="72" applyFont="1" applyFill="1" applyBorder="1" applyAlignment="1">
      <alignment horizontal="right"/>
    </xf>
    <xf numFmtId="0" fontId="55" fillId="0" borderId="0" xfId="0" applyFont="1" applyAlignment="1">
      <alignment wrapText="1"/>
    </xf>
    <xf numFmtId="0" fontId="61" fillId="0" borderId="21" xfId="0" applyFont="1" applyBorder="1" applyAlignment="1">
      <alignment horizontal="center"/>
    </xf>
    <xf numFmtId="0" fontId="62" fillId="61" borderId="29" xfId="0" applyFont="1" applyFill="1" applyBorder="1" applyAlignment="1">
      <alignment/>
    </xf>
    <xf numFmtId="0" fontId="55" fillId="0" borderId="29" xfId="0" applyFont="1" applyFill="1" applyBorder="1" applyAlignment="1">
      <alignment horizontal="center"/>
    </xf>
    <xf numFmtId="43" fontId="55" fillId="0" borderId="29" xfId="70" applyFont="1" applyFill="1" applyBorder="1" applyAlignment="1">
      <alignment horizontal="center"/>
    </xf>
    <xf numFmtId="0" fontId="55" fillId="0" borderId="30" xfId="0" applyFont="1" applyBorder="1" applyAlignment="1" quotePrefix="1">
      <alignment/>
    </xf>
    <xf numFmtId="0" fontId="55" fillId="0" borderId="30" xfId="0" applyFont="1" applyBorder="1" applyAlignment="1">
      <alignment horizontal="center"/>
    </xf>
    <xf numFmtId="43" fontId="55" fillId="0" borderId="30" xfId="70" applyFont="1" applyBorder="1" applyAlignment="1">
      <alignment horizontal="center"/>
    </xf>
    <xf numFmtId="0" fontId="62" fillId="61" borderId="30" xfId="0" applyFont="1" applyFill="1" applyBorder="1" applyAlignment="1" quotePrefix="1">
      <alignment horizontal="left"/>
    </xf>
    <xf numFmtId="0" fontId="55" fillId="0" borderId="30" xfId="0" applyFont="1" applyFill="1" applyBorder="1" applyAlignment="1">
      <alignment horizontal="center"/>
    </xf>
    <xf numFmtId="43" fontId="55" fillId="0" borderId="30" xfId="70" applyFont="1" applyFill="1" applyBorder="1" applyAlignment="1">
      <alignment horizontal="center"/>
    </xf>
    <xf numFmtId="0" fontId="62" fillId="61" borderId="30" xfId="0" applyFont="1" applyFill="1" applyBorder="1" applyAlignment="1">
      <alignment/>
    </xf>
    <xf numFmtId="0" fontId="63" fillId="62" borderId="30" xfId="0" applyFont="1" applyFill="1" applyBorder="1" applyAlignment="1">
      <alignment horizontal="center"/>
    </xf>
    <xf numFmtId="0" fontId="55" fillId="0" borderId="31" xfId="0" applyFont="1" applyBorder="1" applyAlignment="1">
      <alignment horizontal="center"/>
    </xf>
    <xf numFmtId="43" fontId="56" fillId="0" borderId="31" xfId="70" applyFont="1" applyBorder="1" applyAlignment="1">
      <alignment horizontal="center"/>
    </xf>
    <xf numFmtId="0" fontId="24" fillId="0" borderId="21" xfId="120" applyFont="1" applyBorder="1" applyAlignment="1">
      <alignment horizontal="center" vertical="center" wrapText="1"/>
      <protection/>
    </xf>
    <xf numFmtId="0" fontId="55" fillId="0" borderId="32" xfId="129" applyFont="1" applyBorder="1" applyAlignment="1">
      <alignment horizontal="right"/>
      <protection/>
    </xf>
    <xf numFmtId="0" fontId="56" fillId="55" borderId="21" xfId="129" applyFont="1" applyFill="1" applyBorder="1" applyAlignment="1">
      <alignment horizontal="left"/>
      <protection/>
    </xf>
    <xf numFmtId="0" fontId="56" fillId="0" borderId="21" xfId="129" applyFont="1" applyFill="1" applyBorder="1" applyAlignment="1">
      <alignment horizontal="left"/>
      <protection/>
    </xf>
    <xf numFmtId="0" fontId="56" fillId="0" borderId="21" xfId="129" applyFont="1" applyFill="1" applyBorder="1" applyAlignment="1">
      <alignment horizontal="left" shrinkToFit="1"/>
      <protection/>
    </xf>
    <xf numFmtId="0" fontId="56" fillId="0" borderId="0" xfId="129" applyFont="1" applyAlignment="1">
      <alignment horizontal="center"/>
      <protection/>
    </xf>
    <xf numFmtId="0" fontId="24" fillId="4" borderId="23" xfId="120" applyFont="1" applyFill="1" applyBorder="1" applyAlignment="1">
      <alignment horizontal="center" vertical="center" wrapText="1"/>
      <protection/>
    </xf>
    <xf numFmtId="0" fontId="24" fillId="4" borderId="24" xfId="120" applyFont="1" applyFill="1" applyBorder="1" applyAlignment="1">
      <alignment horizontal="center" vertical="center" wrapText="1"/>
      <protection/>
    </xf>
    <xf numFmtId="0" fontId="56" fillId="0" borderId="0" xfId="129" applyFont="1" applyBorder="1" applyAlignment="1">
      <alignment horizontal="center"/>
      <protection/>
    </xf>
    <xf numFmtId="0" fontId="24" fillId="4" borderId="21" xfId="120" applyFont="1" applyFill="1" applyBorder="1" applyAlignment="1">
      <alignment horizontal="center" vertical="center" wrapText="1"/>
      <protection/>
    </xf>
    <xf numFmtId="203" fontId="60" fillId="12" borderId="21" xfId="92" applyNumberFormat="1" applyFont="1" applyFill="1" applyBorder="1" applyAlignment="1">
      <alignment horizontal="center"/>
    </xf>
    <xf numFmtId="0" fontId="60" fillId="12" borderId="22" xfId="129" applyFont="1" applyFill="1" applyBorder="1" applyAlignment="1">
      <alignment horizontal="center"/>
      <protection/>
    </xf>
    <xf numFmtId="0" fontId="58" fillId="12" borderId="6" xfId="129" applyFont="1" applyFill="1" applyBorder="1" applyAlignment="1">
      <alignment horizontal="center"/>
      <protection/>
    </xf>
    <xf numFmtId="0" fontId="58" fillId="12" borderId="25" xfId="129" applyFont="1" applyFill="1" applyBorder="1" applyAlignment="1">
      <alignment horizontal="center"/>
      <protection/>
    </xf>
    <xf numFmtId="0" fontId="24" fillId="55" borderId="21" xfId="129" applyFont="1" applyFill="1" applyBorder="1" applyAlignment="1">
      <alignment horizontal="left"/>
      <protection/>
    </xf>
    <xf numFmtId="3" fontId="24" fillId="56" borderId="22" xfId="129" applyNumberFormat="1" applyFont="1" applyFill="1" applyBorder="1" applyAlignment="1">
      <alignment horizontal="center"/>
      <protection/>
    </xf>
    <xf numFmtId="3" fontId="24" fillId="56" borderId="6" xfId="129" applyNumberFormat="1" applyFont="1" applyFill="1" applyBorder="1" applyAlignment="1">
      <alignment horizontal="center"/>
      <protection/>
    </xf>
    <xf numFmtId="3" fontId="24" fillId="56" borderId="25" xfId="129" applyNumberFormat="1" applyFont="1" applyFill="1" applyBorder="1" applyAlignment="1">
      <alignment horizontal="center"/>
      <protection/>
    </xf>
    <xf numFmtId="0" fontId="24" fillId="0" borderId="21" xfId="129" applyFont="1" applyBorder="1" applyAlignment="1">
      <alignment horizontal="left"/>
      <protection/>
    </xf>
    <xf numFmtId="0" fontId="24" fillId="56" borderId="21" xfId="129" applyFont="1" applyFill="1" applyBorder="1" applyAlignment="1">
      <alignment horizontal="left"/>
      <protection/>
    </xf>
    <xf numFmtId="0" fontId="58" fillId="0" borderId="32" xfId="129" applyFont="1" applyBorder="1" applyAlignment="1">
      <alignment horizontal="right"/>
      <protection/>
    </xf>
    <xf numFmtId="0" fontId="55" fillId="0" borderId="0" xfId="129" applyFont="1" applyAlignment="1">
      <alignment horizontal="center"/>
      <protection/>
    </xf>
    <xf numFmtId="0" fontId="55" fillId="0" borderId="0" xfId="129" applyFont="1" applyBorder="1" applyAlignment="1">
      <alignment horizontal="center"/>
      <protection/>
    </xf>
    <xf numFmtId="204" fontId="26" fillId="55" borderId="33" xfId="92" applyNumberFormat="1" applyFont="1" applyFill="1" applyBorder="1" applyAlignment="1">
      <alignment horizontal="center"/>
    </xf>
    <xf numFmtId="204" fontId="26" fillId="55" borderId="27" xfId="92" applyNumberFormat="1" applyFont="1" applyFill="1" applyBorder="1" applyAlignment="1">
      <alignment horizontal="center"/>
    </xf>
    <xf numFmtId="204" fontId="26" fillId="55" borderId="28" xfId="92" applyNumberFormat="1" applyFont="1" applyFill="1" applyBorder="1" applyAlignment="1">
      <alignment horizontal="center"/>
    </xf>
    <xf numFmtId="204" fontId="26" fillId="55" borderId="22" xfId="92" applyNumberFormat="1" applyFont="1" applyFill="1" applyBorder="1" applyAlignment="1">
      <alignment horizontal="center"/>
    </xf>
    <xf numFmtId="204" fontId="26" fillId="55" borderId="6" xfId="92" applyNumberFormat="1" applyFont="1" applyFill="1" applyBorder="1" applyAlignment="1">
      <alignment horizontal="center"/>
    </xf>
    <xf numFmtId="204" fontId="26" fillId="55" borderId="25" xfId="92" applyNumberFormat="1" applyFont="1" applyFill="1" applyBorder="1" applyAlignment="1">
      <alignment horizontal="center"/>
    </xf>
    <xf numFmtId="0" fontId="24" fillId="12" borderId="21" xfId="129" applyFont="1" applyFill="1" applyBorder="1" applyAlignment="1">
      <alignment horizontal="center"/>
      <protection/>
    </xf>
    <xf numFmtId="0" fontId="56" fillId="12" borderId="21" xfId="129" applyFont="1" applyFill="1" applyBorder="1" applyAlignment="1">
      <alignment horizontal="center"/>
      <protection/>
    </xf>
    <xf numFmtId="203" fontId="56" fillId="12" borderId="21" xfId="92" applyNumberFormat="1" applyFont="1" applyFill="1" applyBorder="1" applyAlignment="1">
      <alignment horizontal="center"/>
    </xf>
    <xf numFmtId="0" fontId="55" fillId="12" borderId="21" xfId="129" applyFont="1" applyFill="1" applyBorder="1" applyAlignment="1">
      <alignment horizontal="center"/>
      <protection/>
    </xf>
    <xf numFmtId="0" fontId="24" fillId="55" borderId="24" xfId="129" applyFont="1" applyFill="1" applyBorder="1" applyAlignment="1">
      <alignment horizontal="left"/>
      <protection/>
    </xf>
    <xf numFmtId="0" fontId="60" fillId="0" borderId="21" xfId="129" applyFont="1" applyFill="1" applyBorder="1" applyAlignment="1">
      <alignment horizontal="center"/>
      <protection/>
    </xf>
    <xf numFmtId="204" fontId="60" fillId="0" borderId="21" xfId="92" applyNumberFormat="1" applyFont="1" applyFill="1" applyBorder="1" applyAlignment="1">
      <alignment horizontal="center"/>
    </xf>
    <xf numFmtId="0" fontId="56" fillId="0" borderId="21" xfId="129" applyFont="1" applyFill="1" applyBorder="1" applyAlignment="1">
      <alignment shrinkToFit="1"/>
      <protection/>
    </xf>
    <xf numFmtId="0" fontId="24" fillId="12" borderId="34" xfId="120" applyFont="1" applyFill="1" applyBorder="1" applyAlignment="1">
      <alignment horizontal="left"/>
      <protection/>
    </xf>
    <xf numFmtId="0" fontId="24" fillId="12" borderId="0" xfId="120" applyFont="1" applyFill="1" applyBorder="1" applyAlignment="1">
      <alignment horizontal="left"/>
      <protection/>
    </xf>
    <xf numFmtId="0" fontId="24" fillId="12" borderId="35" xfId="120" applyFont="1" applyFill="1" applyBorder="1" applyAlignment="1">
      <alignment horizontal="left"/>
      <protection/>
    </xf>
    <xf numFmtId="0" fontId="60" fillId="55" borderId="21" xfId="129" applyFont="1" applyFill="1" applyBorder="1" applyAlignment="1">
      <alignment horizontal="center"/>
      <protection/>
    </xf>
    <xf numFmtId="204" fontId="60" fillId="55" borderId="21" xfId="92" applyNumberFormat="1" applyFont="1" applyFill="1" applyBorder="1" applyAlignment="1">
      <alignment horizontal="center"/>
    </xf>
    <xf numFmtId="0" fontId="24" fillId="27" borderId="34" xfId="120" applyFont="1" applyFill="1" applyBorder="1" applyAlignment="1">
      <alignment horizontal="left"/>
      <protection/>
    </xf>
    <xf numFmtId="0" fontId="24" fillId="27" borderId="0" xfId="120" applyFont="1" applyFill="1" applyBorder="1" applyAlignment="1">
      <alignment horizontal="left"/>
      <protection/>
    </xf>
    <xf numFmtId="0" fontId="24" fillId="27" borderId="35" xfId="120" applyFont="1" applyFill="1" applyBorder="1" applyAlignment="1">
      <alignment horizontal="left"/>
      <protection/>
    </xf>
    <xf numFmtId="0" fontId="24" fillId="14" borderId="34" xfId="120" applyFont="1" applyFill="1" applyBorder="1" applyAlignment="1">
      <alignment horizontal="left"/>
      <protection/>
    </xf>
    <xf numFmtId="0" fontId="24" fillId="14" borderId="0" xfId="120" applyFont="1" applyFill="1" applyBorder="1" applyAlignment="1">
      <alignment horizontal="left"/>
      <protection/>
    </xf>
    <xf numFmtId="0" fontId="24" fillId="14" borderId="35" xfId="120" applyFont="1" applyFill="1" applyBorder="1" applyAlignment="1">
      <alignment horizontal="left"/>
      <protection/>
    </xf>
    <xf numFmtId="0" fontId="56" fillId="0" borderId="21" xfId="129" applyFont="1" applyFill="1" applyBorder="1" applyAlignment="1">
      <alignment/>
      <protection/>
    </xf>
    <xf numFmtId="0" fontId="24" fillId="8" borderId="21" xfId="120" applyFont="1" applyFill="1" applyBorder="1" applyAlignment="1">
      <alignment horizontal="center" vertical="center"/>
      <protection/>
    </xf>
    <xf numFmtId="0" fontId="24" fillId="8" borderId="22" xfId="120" applyFont="1" applyFill="1" applyBorder="1" applyAlignment="1">
      <alignment horizontal="center"/>
      <protection/>
    </xf>
    <xf numFmtId="0" fontId="24" fillId="8" borderId="6" xfId="120" applyFont="1" applyFill="1" applyBorder="1" applyAlignment="1">
      <alignment horizontal="center"/>
      <protection/>
    </xf>
    <xf numFmtId="0" fontId="24" fillId="8" borderId="25" xfId="120" applyFont="1" applyFill="1" applyBorder="1" applyAlignment="1">
      <alignment horizontal="center"/>
      <protection/>
    </xf>
    <xf numFmtId="0" fontId="24" fillId="12" borderId="22" xfId="120" applyFont="1" applyFill="1" applyBorder="1" applyAlignment="1">
      <alignment horizontal="left"/>
      <protection/>
    </xf>
    <xf numFmtId="0" fontId="24" fillId="12" borderId="6" xfId="120" applyFont="1" applyFill="1" applyBorder="1" applyAlignment="1">
      <alignment horizontal="left"/>
      <protection/>
    </xf>
    <xf numFmtId="0" fontId="24" fillId="12" borderId="25" xfId="120" applyFont="1" applyFill="1" applyBorder="1" applyAlignment="1">
      <alignment horizontal="left"/>
      <protection/>
    </xf>
    <xf numFmtId="0" fontId="24" fillId="12" borderId="36" xfId="120" applyFont="1" applyFill="1" applyBorder="1" applyAlignment="1">
      <alignment horizontal="left"/>
      <protection/>
    </xf>
    <xf numFmtId="0" fontId="24" fillId="12" borderId="32" xfId="120" applyFont="1" applyFill="1" applyBorder="1" applyAlignment="1">
      <alignment horizontal="left"/>
      <protection/>
    </xf>
    <xf numFmtId="0" fontId="56" fillId="55" borderId="22" xfId="129" applyFont="1" applyFill="1" applyBorder="1" applyAlignment="1">
      <alignment horizontal="left"/>
      <protection/>
    </xf>
    <xf numFmtId="0" fontId="56" fillId="55" borderId="6" xfId="129" applyFont="1" applyFill="1" applyBorder="1" applyAlignment="1">
      <alignment horizontal="left"/>
      <protection/>
    </xf>
    <xf numFmtId="0" fontId="56" fillId="55" borderId="25" xfId="129" applyFont="1" applyFill="1" applyBorder="1" applyAlignment="1">
      <alignment horizontal="left"/>
      <protection/>
    </xf>
    <xf numFmtId="0" fontId="56" fillId="0" borderId="22" xfId="129" applyFont="1" applyFill="1" applyBorder="1" applyAlignment="1">
      <alignment horizontal="left"/>
      <protection/>
    </xf>
    <xf numFmtId="0" fontId="56" fillId="0" borderId="6" xfId="129" applyFont="1" applyFill="1" applyBorder="1" applyAlignment="1">
      <alignment horizontal="left"/>
      <protection/>
    </xf>
    <xf numFmtId="0" fontId="56" fillId="0" borderId="25" xfId="129" applyFont="1" applyFill="1" applyBorder="1" applyAlignment="1">
      <alignment horizontal="left"/>
      <protection/>
    </xf>
    <xf numFmtId="0" fontId="56" fillId="0" borderId="22" xfId="129" applyFont="1" applyFill="1" applyBorder="1" applyAlignment="1">
      <alignment horizontal="left" shrinkToFit="1"/>
      <protection/>
    </xf>
    <xf numFmtId="0" fontId="56" fillId="0" borderId="6" xfId="129" applyFont="1" applyFill="1" applyBorder="1" applyAlignment="1">
      <alignment horizontal="left" shrinkToFit="1"/>
      <protection/>
    </xf>
    <xf numFmtId="0" fontId="56" fillId="0" borderId="25" xfId="129" applyFont="1" applyFill="1" applyBorder="1" applyAlignment="1">
      <alignment horizontal="left" shrinkToFit="1"/>
      <protection/>
    </xf>
    <xf numFmtId="0" fontId="56" fillId="2" borderId="21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 wrapText="1"/>
    </xf>
    <xf numFmtId="0" fontId="56" fillId="2" borderId="26" xfId="0" applyFont="1" applyFill="1" applyBorder="1" applyAlignment="1">
      <alignment horizontal="center" vertical="center" wrapText="1"/>
    </xf>
    <xf numFmtId="0" fontId="56" fillId="2" borderId="24" xfId="0" applyFont="1" applyFill="1" applyBorder="1" applyAlignment="1">
      <alignment horizontal="center" vertical="center" wrapText="1"/>
    </xf>
    <xf numFmtId="0" fontId="24" fillId="0" borderId="21" xfId="123" applyFont="1" applyBorder="1" applyAlignment="1" quotePrefix="1">
      <alignment horizontal="center"/>
      <protection/>
    </xf>
    <xf numFmtId="0" fontId="24" fillId="59" borderId="21" xfId="0" applyFont="1" applyFill="1" applyBorder="1" applyAlignment="1">
      <alignment horizontal="left"/>
    </xf>
    <xf numFmtId="0" fontId="24" fillId="52" borderId="21" xfId="0" applyFont="1" applyFill="1" applyBorder="1" applyAlignment="1">
      <alignment horizontal="left"/>
    </xf>
    <xf numFmtId="0" fontId="24" fillId="13" borderId="22" xfId="0" applyFont="1" applyFill="1" applyBorder="1" applyAlignment="1">
      <alignment horizontal="left"/>
    </xf>
    <xf numFmtId="0" fontId="24" fillId="13" borderId="25" xfId="0" applyFont="1" applyFill="1" applyBorder="1" applyAlignment="1">
      <alignment horizontal="left"/>
    </xf>
    <xf numFmtId="0" fontId="24" fillId="0" borderId="0" xfId="123" applyFont="1" applyFill="1" applyAlignment="1">
      <alignment horizontal="center"/>
      <protection/>
    </xf>
    <xf numFmtId="0" fontId="24" fillId="0" borderId="21" xfId="123" applyFont="1" applyBorder="1" applyAlignment="1">
      <alignment horizontal="center" vertical="center"/>
      <protection/>
    </xf>
    <xf numFmtId="0" fontId="24" fillId="0" borderId="21" xfId="123" applyFont="1" applyBorder="1" applyAlignment="1">
      <alignment horizontal="center"/>
      <protection/>
    </xf>
    <xf numFmtId="0" fontId="24" fillId="0" borderId="21" xfId="123" applyFont="1" applyBorder="1">
      <alignment/>
      <protection/>
    </xf>
    <xf numFmtId="0" fontId="24" fillId="59" borderId="23" xfId="123" applyFont="1" applyFill="1" applyBorder="1" applyAlignment="1">
      <alignment horizontal="center" vertical="center"/>
      <protection/>
    </xf>
    <xf numFmtId="0" fontId="24" fillId="59" borderId="26" xfId="123" applyFont="1" applyFill="1" applyBorder="1" applyAlignment="1">
      <alignment horizontal="center" vertical="center"/>
      <protection/>
    </xf>
    <xf numFmtId="0" fontId="24" fillId="59" borderId="24" xfId="123" applyFont="1" applyFill="1" applyBorder="1" applyAlignment="1">
      <alignment horizontal="center" vertical="center"/>
      <protection/>
    </xf>
    <xf numFmtId="0" fontId="24" fillId="58" borderId="23" xfId="123" applyFont="1" applyFill="1" applyBorder="1" applyAlignment="1">
      <alignment horizontal="center" vertical="center"/>
      <protection/>
    </xf>
    <xf numFmtId="0" fontId="24" fillId="58" borderId="26" xfId="123" applyFont="1" applyFill="1" applyBorder="1" applyAlignment="1">
      <alignment horizontal="center" vertical="center"/>
      <protection/>
    </xf>
    <xf numFmtId="0" fontId="24" fillId="58" borderId="24" xfId="123" applyFont="1" applyFill="1" applyBorder="1" applyAlignment="1">
      <alignment horizontal="center" vertical="center"/>
      <protection/>
    </xf>
    <xf numFmtId="0" fontId="56" fillId="0" borderId="27" xfId="129" applyFont="1" applyBorder="1" applyAlignment="1">
      <alignment horizontal="center"/>
      <protection/>
    </xf>
    <xf numFmtId="0" fontId="56" fillId="6" borderId="23" xfId="129" applyFont="1" applyFill="1" applyBorder="1" applyAlignment="1">
      <alignment horizontal="center" vertical="center"/>
      <protection/>
    </xf>
    <xf numFmtId="0" fontId="56" fillId="6" borderId="26" xfId="129" applyFont="1" applyFill="1" applyBorder="1" applyAlignment="1">
      <alignment horizontal="center" vertical="center"/>
      <protection/>
    </xf>
    <xf numFmtId="0" fontId="56" fillId="6" borderId="24" xfId="129" applyFont="1" applyFill="1" applyBorder="1" applyAlignment="1">
      <alignment horizontal="center" vertical="center"/>
      <protection/>
    </xf>
    <xf numFmtId="0" fontId="24" fillId="6" borderId="22" xfId="129" applyFont="1" applyFill="1" applyBorder="1" applyAlignment="1">
      <alignment horizontal="center"/>
      <protection/>
    </xf>
    <xf numFmtId="0" fontId="24" fillId="6" borderId="6" xfId="129" applyFont="1" applyFill="1" applyBorder="1" applyAlignment="1">
      <alignment horizontal="center"/>
      <protection/>
    </xf>
    <xf numFmtId="0" fontId="24" fillId="6" borderId="25" xfId="129" applyFont="1" applyFill="1" applyBorder="1" applyAlignment="1">
      <alignment horizontal="center"/>
      <protection/>
    </xf>
    <xf numFmtId="0" fontId="56" fillId="6" borderId="21" xfId="129" applyFont="1" applyFill="1" applyBorder="1" applyAlignment="1">
      <alignment horizontal="center" vertical="center" wrapText="1"/>
      <protection/>
    </xf>
    <xf numFmtId="0" fontId="56" fillId="8" borderId="23" xfId="129" applyFont="1" applyFill="1" applyBorder="1" applyAlignment="1">
      <alignment horizontal="center" vertical="center"/>
      <protection/>
    </xf>
    <xf numFmtId="0" fontId="56" fillId="8" borderId="26" xfId="129" applyFont="1" applyFill="1" applyBorder="1" applyAlignment="1">
      <alignment horizontal="center" vertical="center"/>
      <protection/>
    </xf>
    <xf numFmtId="0" fontId="56" fillId="8" borderId="24" xfId="129" applyFont="1" applyFill="1" applyBorder="1" applyAlignment="1">
      <alignment horizontal="center" vertical="center"/>
      <protection/>
    </xf>
    <xf numFmtId="43" fontId="56" fillId="8" borderId="37" xfId="72" applyFont="1" applyFill="1" applyBorder="1" applyAlignment="1">
      <alignment horizontal="center" vertical="center" wrapText="1"/>
    </xf>
    <xf numFmtId="43" fontId="56" fillId="8" borderId="35" xfId="72" applyFont="1" applyFill="1" applyBorder="1" applyAlignment="1">
      <alignment horizontal="center" vertical="center" wrapText="1"/>
    </xf>
    <xf numFmtId="43" fontId="56" fillId="8" borderId="28" xfId="72" applyFont="1" applyFill="1" applyBorder="1" applyAlignment="1">
      <alignment horizontal="center" vertical="center" wrapText="1"/>
    </xf>
    <xf numFmtId="0" fontId="24" fillId="8" borderId="22" xfId="129" applyFont="1" applyFill="1" applyBorder="1" applyAlignment="1">
      <alignment horizontal="center"/>
      <protection/>
    </xf>
    <xf numFmtId="0" fontId="24" fillId="8" borderId="6" xfId="129" applyFont="1" applyFill="1" applyBorder="1" applyAlignment="1">
      <alignment horizontal="center"/>
      <protection/>
    </xf>
    <xf numFmtId="0" fontId="24" fillId="8" borderId="25" xfId="129" applyFont="1" applyFill="1" applyBorder="1" applyAlignment="1">
      <alignment horizontal="center"/>
      <protection/>
    </xf>
    <xf numFmtId="0" fontId="56" fillId="10" borderId="23" xfId="129" applyFont="1" applyFill="1" applyBorder="1" applyAlignment="1">
      <alignment horizontal="center" vertical="center"/>
      <protection/>
    </xf>
    <xf numFmtId="0" fontId="56" fillId="10" borderId="26" xfId="129" applyFont="1" applyFill="1" applyBorder="1" applyAlignment="1">
      <alignment horizontal="center" vertical="center"/>
      <protection/>
    </xf>
    <xf numFmtId="0" fontId="56" fillId="10" borderId="24" xfId="129" applyFont="1" applyFill="1" applyBorder="1" applyAlignment="1">
      <alignment horizontal="center" vertical="center"/>
      <protection/>
    </xf>
    <xf numFmtId="0" fontId="56" fillId="10" borderId="21" xfId="129" applyFont="1" applyFill="1" applyBorder="1" applyAlignment="1">
      <alignment horizontal="center" vertical="center" wrapText="1"/>
      <protection/>
    </xf>
    <xf numFmtId="0" fontId="56" fillId="10" borderId="22" xfId="129" applyFont="1" applyFill="1" applyBorder="1" applyAlignment="1">
      <alignment horizontal="center"/>
      <protection/>
    </xf>
    <xf numFmtId="0" fontId="56" fillId="10" borderId="6" xfId="129" applyFont="1" applyFill="1" applyBorder="1" applyAlignment="1">
      <alignment horizontal="center"/>
      <protection/>
    </xf>
    <xf numFmtId="0" fontId="56" fillId="10" borderId="25" xfId="129" applyFont="1" applyFill="1" applyBorder="1" applyAlignment="1">
      <alignment horizontal="center"/>
      <protection/>
    </xf>
    <xf numFmtId="0" fontId="56" fillId="0" borderId="38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75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10" xfId="72"/>
    <cellStyle name="Comma 11" xfId="73"/>
    <cellStyle name="Comma 12" xfId="74"/>
    <cellStyle name="Comma 13" xfId="75"/>
    <cellStyle name="Comma 14" xfId="76"/>
    <cellStyle name="Comma 15" xfId="77"/>
    <cellStyle name="Comma 16" xfId="78"/>
    <cellStyle name="Comma 2" xfId="79"/>
    <cellStyle name="Comma 2 2" xfId="80"/>
    <cellStyle name="Comma 2 3" xfId="81"/>
    <cellStyle name="Comma 2 4" xfId="82"/>
    <cellStyle name="Comma 3" xfId="83"/>
    <cellStyle name="Comma 3 2" xfId="84"/>
    <cellStyle name="Comma 3_สรุปการเบิกจ่าย 1 ต.ค.51-29 พ.ค.52" xfId="85"/>
    <cellStyle name="Comma 4" xfId="86"/>
    <cellStyle name="Comma 4 2" xfId="87"/>
    <cellStyle name="Comma 5" xfId="88"/>
    <cellStyle name="Comma 5 2" xfId="89"/>
    <cellStyle name="Comma 5 3" xfId="90"/>
    <cellStyle name="Comma 5 3 2" xfId="91"/>
    <cellStyle name="Comma 6" xfId="92"/>
    <cellStyle name="Comma 7" xfId="93"/>
    <cellStyle name="Comma 7 2" xfId="94"/>
    <cellStyle name="Comma 8" xfId="95"/>
    <cellStyle name="Comma 9" xfId="96"/>
    <cellStyle name="Currency" xfId="97"/>
    <cellStyle name="Currency [0]" xfId="98"/>
    <cellStyle name="Explanatory Text" xfId="99"/>
    <cellStyle name="Explanatory Text 2" xfId="100"/>
    <cellStyle name="Good" xfId="101"/>
    <cellStyle name="Good 2" xfId="102"/>
    <cellStyle name="Header1" xfId="103"/>
    <cellStyle name="Header2" xfId="104"/>
    <cellStyle name="Heading 1" xfId="105"/>
    <cellStyle name="Heading 1 2" xfId="106"/>
    <cellStyle name="Heading 2" xfId="107"/>
    <cellStyle name="Heading 2 2" xfId="108"/>
    <cellStyle name="Heading 3" xfId="109"/>
    <cellStyle name="Heading 3 2" xfId="110"/>
    <cellStyle name="Heading 4" xfId="111"/>
    <cellStyle name="Heading 4 2" xfId="112"/>
    <cellStyle name="Hyperlink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rmal 2" xfId="120"/>
    <cellStyle name="Normal 2 2" xfId="121"/>
    <cellStyle name="Normal 2_ทะเบียนคุมรายจ่าย 52" xfId="122"/>
    <cellStyle name="Normal 3" xfId="123"/>
    <cellStyle name="Normal 4" xfId="124"/>
    <cellStyle name="Normal 4 2" xfId="125"/>
    <cellStyle name="Normal 4 3" xfId="126"/>
    <cellStyle name="Normal 4 4" xfId="127"/>
    <cellStyle name="Normal 4 4 2" xfId="128"/>
    <cellStyle name="Normal 5" xfId="129"/>
    <cellStyle name="Normal 6" xfId="130"/>
    <cellStyle name="Normal 7" xfId="131"/>
    <cellStyle name="Normal 8" xfId="132"/>
    <cellStyle name="Normal 9" xfId="133"/>
    <cellStyle name="Note" xfId="134"/>
    <cellStyle name="Note 2" xfId="135"/>
    <cellStyle name="Output" xfId="136"/>
    <cellStyle name="Output 2" xfId="137"/>
    <cellStyle name="Percent" xfId="138"/>
    <cellStyle name="Percent 2" xfId="139"/>
    <cellStyle name="Percent 3" xfId="140"/>
    <cellStyle name="Title" xfId="141"/>
    <cellStyle name="Title 2" xfId="142"/>
    <cellStyle name="Total" xfId="143"/>
    <cellStyle name="Total 2" xfId="144"/>
    <cellStyle name="Warning Text" xfId="145"/>
    <cellStyle name="Warning Text 2" xfId="146"/>
    <cellStyle name="เครื่องหมายจุลภาค_Sheet2" xfId="147"/>
    <cellStyle name="น้บะภฒ_95" xfId="148"/>
    <cellStyle name="ปกติ_export20110603104847(1)" xfId="149"/>
    <cellStyle name="ฤธถ [0]_95" xfId="150"/>
    <cellStyle name="ฤธถ_95" xfId="151"/>
    <cellStyle name="ล๋ศญ [0]_95" xfId="152"/>
    <cellStyle name="ล๋ศญ_95" xfId="153"/>
    <cellStyle name="วฅมุ_4ฟ๙ฝวภ๛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8"/>
  <sheetViews>
    <sheetView view="pageBreakPreview" zoomScale="95" zoomScaleSheetLayoutView="95" zoomScalePageLayoutView="0" workbookViewId="0" topLeftCell="A1">
      <selection activeCell="N15" sqref="N15"/>
    </sheetView>
  </sheetViews>
  <sheetFormatPr defaultColWidth="9.00390625" defaultRowHeight="15"/>
  <cols>
    <col min="1" max="1" width="3.140625" style="64" bestFit="1" customWidth="1"/>
    <col min="2" max="2" width="18.28125" style="64" bestFit="1" customWidth="1"/>
    <col min="3" max="3" width="9.140625" style="64" bestFit="1" customWidth="1"/>
    <col min="4" max="4" width="8.140625" style="64" bestFit="1" customWidth="1"/>
    <col min="5" max="5" width="26.00390625" style="64" bestFit="1" customWidth="1"/>
    <col min="6" max="7" width="7.421875" style="108" bestFit="1" customWidth="1"/>
    <col min="8" max="8" width="10.421875" style="64" bestFit="1" customWidth="1"/>
    <col min="9" max="10" width="8.57421875" style="64" bestFit="1" customWidth="1"/>
    <col min="11" max="11" width="7.28125" style="64" bestFit="1" customWidth="1"/>
    <col min="12" max="16384" width="9.00390625" style="64" customWidth="1"/>
  </cols>
  <sheetData>
    <row r="1" spans="1:10" s="1" customFormat="1" ht="20.25">
      <c r="A1" s="212" t="s">
        <v>204</v>
      </c>
      <c r="B1" s="212"/>
      <c r="C1" s="212"/>
      <c r="D1" s="212"/>
      <c r="E1" s="212"/>
      <c r="F1" s="212"/>
      <c r="G1" s="212"/>
      <c r="H1" s="212"/>
      <c r="I1" s="105"/>
      <c r="J1" s="105"/>
    </row>
    <row r="2" spans="1:10" s="1" customFormat="1" ht="20.25">
      <c r="A2" s="212" t="s">
        <v>64</v>
      </c>
      <c r="B2" s="212"/>
      <c r="C2" s="212"/>
      <c r="D2" s="212"/>
      <c r="E2" s="212"/>
      <c r="F2" s="212"/>
      <c r="G2" s="212"/>
      <c r="H2" s="212"/>
      <c r="I2" s="105"/>
      <c r="J2" s="105"/>
    </row>
    <row r="3" spans="1:10" s="1" customFormat="1" ht="20.25">
      <c r="A3" s="215" t="s">
        <v>43</v>
      </c>
      <c r="B3" s="215"/>
      <c r="C3" s="215"/>
      <c r="D3" s="215"/>
      <c r="E3" s="215"/>
      <c r="F3" s="215"/>
      <c r="G3" s="215"/>
      <c r="H3" s="215"/>
      <c r="I3" s="106"/>
      <c r="J3" s="106"/>
    </row>
    <row r="5" spans="1:8" ht="20.25">
      <c r="A5" s="213" t="s">
        <v>54</v>
      </c>
      <c r="B5" s="213" t="s">
        <v>55</v>
      </c>
      <c r="C5" s="213" t="s">
        <v>56</v>
      </c>
      <c r="D5" s="213" t="s">
        <v>57</v>
      </c>
      <c r="E5" s="216" t="s">
        <v>58</v>
      </c>
      <c r="F5" s="216" t="s">
        <v>59</v>
      </c>
      <c r="G5" s="216"/>
      <c r="H5" s="213" t="s">
        <v>60</v>
      </c>
    </row>
    <row r="6" spans="1:8" ht="20.25">
      <c r="A6" s="214"/>
      <c r="B6" s="214"/>
      <c r="C6" s="214"/>
      <c r="D6" s="214"/>
      <c r="E6" s="216"/>
      <c r="F6" s="107" t="s">
        <v>205</v>
      </c>
      <c r="G6" s="111" t="s">
        <v>206</v>
      </c>
      <c r="H6" s="214"/>
    </row>
    <row r="7" spans="1:8" ht="20.25">
      <c r="A7" s="103">
        <v>3</v>
      </c>
      <c r="B7" s="103" t="s">
        <v>61</v>
      </c>
      <c r="C7" s="103">
        <v>14</v>
      </c>
      <c r="D7" s="103"/>
      <c r="E7" s="103"/>
      <c r="F7" s="104">
        <f>E7*D7</f>
        <v>0</v>
      </c>
      <c r="G7" s="104">
        <f>E7*D7</f>
        <v>0</v>
      </c>
      <c r="H7" s="104">
        <f>F7+G7</f>
        <v>0</v>
      </c>
    </row>
    <row r="8" spans="1:8" ht="20.25">
      <c r="A8" s="103">
        <v>4</v>
      </c>
      <c r="B8" s="103" t="s">
        <v>61</v>
      </c>
      <c r="C8" s="103">
        <v>12</v>
      </c>
      <c r="D8" s="103"/>
      <c r="E8" s="103"/>
      <c r="F8" s="104">
        <f>E8*D8</f>
        <v>0</v>
      </c>
      <c r="G8" s="104">
        <f>E8*D8</f>
        <v>0</v>
      </c>
      <c r="H8" s="104">
        <f>F8+G8</f>
        <v>0</v>
      </c>
    </row>
    <row r="9" spans="1:8" ht="20.25">
      <c r="A9" s="103">
        <v>4</v>
      </c>
      <c r="B9" s="103" t="s">
        <v>62</v>
      </c>
      <c r="C9" s="103">
        <v>44</v>
      </c>
      <c r="D9" s="103"/>
      <c r="E9" s="103"/>
      <c r="F9" s="104">
        <f>E9*D9</f>
        <v>0</v>
      </c>
      <c r="G9" s="104">
        <f>E9*D9</f>
        <v>0</v>
      </c>
      <c r="H9" s="104">
        <f>F9+G9</f>
        <v>0</v>
      </c>
    </row>
    <row r="10" spans="1:8" ht="20.25">
      <c r="A10" s="103">
        <v>5</v>
      </c>
      <c r="B10" s="103" t="s">
        <v>62</v>
      </c>
      <c r="C10" s="103">
        <v>40</v>
      </c>
      <c r="D10" s="103"/>
      <c r="E10" s="103"/>
      <c r="F10" s="104">
        <f>E10*D10</f>
        <v>0</v>
      </c>
      <c r="G10" s="104">
        <f>E10*D10</f>
        <v>0</v>
      </c>
      <c r="H10" s="104">
        <f>F10+G10</f>
        <v>0</v>
      </c>
    </row>
    <row r="11" spans="1:8" ht="20.25">
      <c r="A11" s="103">
        <v>6</v>
      </c>
      <c r="B11" s="103" t="s">
        <v>63</v>
      </c>
      <c r="C11" s="103">
        <v>39</v>
      </c>
      <c r="D11" s="103"/>
      <c r="E11" s="103"/>
      <c r="F11" s="104">
        <f>E11*D11</f>
        <v>0</v>
      </c>
      <c r="G11" s="104">
        <f>E11*D11</f>
        <v>0</v>
      </c>
      <c r="H11" s="104">
        <f>F11+G11</f>
        <v>0</v>
      </c>
    </row>
    <row r="12" spans="1:8" ht="20.25">
      <c r="A12" s="207" t="s">
        <v>13</v>
      </c>
      <c r="B12" s="207"/>
      <c r="C12" s="103">
        <f>SUM(C7:C11)</f>
        <v>149</v>
      </c>
      <c r="D12" s="103">
        <f>SUM(D7:D11)</f>
        <v>0</v>
      </c>
      <c r="E12" s="103"/>
      <c r="F12" s="104"/>
      <c r="G12" s="104"/>
      <c r="H12" s="104">
        <f>SUM(H7:H11)</f>
        <v>0</v>
      </c>
    </row>
    <row r="14" spans="1:8" s="1" customFormat="1" ht="20.25">
      <c r="A14" s="209" t="s">
        <v>34</v>
      </c>
      <c r="B14" s="209"/>
      <c r="C14" s="209"/>
      <c r="D14" s="209"/>
      <c r="E14" s="209"/>
      <c r="F14" s="209"/>
      <c r="G14" s="209"/>
      <c r="H14" s="109">
        <f>+H12</f>
        <v>0</v>
      </c>
    </row>
    <row r="15" spans="1:8" s="1" customFormat="1" ht="20.25">
      <c r="A15" s="210" t="s">
        <v>14</v>
      </c>
      <c r="B15" s="210"/>
      <c r="C15" s="210"/>
      <c r="D15" s="210"/>
      <c r="E15" s="210"/>
      <c r="F15" s="210"/>
      <c r="G15" s="210"/>
      <c r="H15" s="110">
        <f>H14*20%</f>
        <v>0</v>
      </c>
    </row>
    <row r="16" spans="1:8" s="1" customFormat="1" ht="20.25">
      <c r="A16" s="210" t="s">
        <v>15</v>
      </c>
      <c r="B16" s="210"/>
      <c r="C16" s="210"/>
      <c r="D16" s="210"/>
      <c r="E16" s="210"/>
      <c r="F16" s="210"/>
      <c r="G16" s="210"/>
      <c r="H16" s="110">
        <f>H14*10%</f>
        <v>0</v>
      </c>
    </row>
    <row r="17" spans="1:8" s="1" customFormat="1" ht="20.25">
      <c r="A17" s="211" t="s">
        <v>16</v>
      </c>
      <c r="B17" s="211"/>
      <c r="C17" s="211"/>
      <c r="D17" s="211"/>
      <c r="E17" s="211"/>
      <c r="F17" s="211"/>
      <c r="G17" s="211"/>
      <c r="H17" s="110">
        <f>H14*70%</f>
        <v>0</v>
      </c>
    </row>
    <row r="18" spans="1:13" ht="20.25">
      <c r="A18" s="208" t="s">
        <v>17</v>
      </c>
      <c r="B18" s="208"/>
      <c r="C18" s="208"/>
      <c r="D18" s="208"/>
      <c r="E18" s="208"/>
      <c r="F18" s="208"/>
      <c r="G18" s="208"/>
      <c r="H18" s="208"/>
      <c r="I18" s="106"/>
      <c r="J18" s="106"/>
      <c r="K18" s="106"/>
      <c r="L18" s="106"/>
      <c r="M18" s="106"/>
    </row>
  </sheetData>
  <sheetProtection/>
  <mergeCells count="16">
    <mergeCell ref="A1:H1"/>
    <mergeCell ref="A5:A6"/>
    <mergeCell ref="B5:B6"/>
    <mergeCell ref="A2:H2"/>
    <mergeCell ref="A3:H3"/>
    <mergeCell ref="F5:G5"/>
    <mergeCell ref="H5:H6"/>
    <mergeCell ref="C5:C6"/>
    <mergeCell ref="D5:D6"/>
    <mergeCell ref="E5:E6"/>
    <mergeCell ref="A12:B12"/>
    <mergeCell ref="A18:H18"/>
    <mergeCell ref="A14:G14"/>
    <mergeCell ref="A15:G15"/>
    <mergeCell ref="A16:G16"/>
    <mergeCell ref="A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46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00390625" defaultRowHeight="15"/>
  <cols>
    <col min="1" max="1" width="43.140625" style="112" bestFit="1" customWidth="1"/>
    <col min="2" max="3" width="9.00390625" style="112" customWidth="1"/>
    <col min="4" max="4" width="10.8515625" style="112" bestFit="1" customWidth="1"/>
    <col min="5" max="7" width="9.00390625" style="112" customWidth="1"/>
    <col min="8" max="8" width="16.8515625" style="112" bestFit="1" customWidth="1"/>
    <col min="9" max="9" width="14.28125" style="112" bestFit="1" customWidth="1"/>
    <col min="10" max="16384" width="9.00390625" style="112" customWidth="1"/>
  </cols>
  <sheetData>
    <row r="1" spans="1:9" ht="25.5">
      <c r="A1" s="320" t="s">
        <v>146</v>
      </c>
      <c r="B1" s="320"/>
      <c r="C1" s="320"/>
      <c r="D1" s="320"/>
      <c r="E1" s="320"/>
      <c r="F1" s="320"/>
      <c r="G1" s="320"/>
      <c r="H1" s="320"/>
      <c r="I1" s="320"/>
    </row>
    <row r="2" spans="1:9" ht="25.5">
      <c r="A2" s="320" t="s">
        <v>203</v>
      </c>
      <c r="B2" s="320"/>
      <c r="C2" s="320"/>
      <c r="D2" s="320"/>
      <c r="E2" s="320"/>
      <c r="F2" s="320"/>
      <c r="G2" s="320"/>
      <c r="H2" s="320"/>
      <c r="I2" s="320"/>
    </row>
    <row r="3" spans="1:9" s="192" customFormat="1" ht="25.5">
      <c r="A3" s="321" t="s">
        <v>105</v>
      </c>
      <c r="B3" s="323" t="s">
        <v>147</v>
      </c>
      <c r="C3" s="323"/>
      <c r="D3" s="323" t="s">
        <v>148</v>
      </c>
      <c r="E3" s="323"/>
      <c r="F3" s="323" t="s">
        <v>149</v>
      </c>
      <c r="G3" s="323"/>
      <c r="H3" s="321" t="s">
        <v>150</v>
      </c>
      <c r="I3" s="321" t="s">
        <v>151</v>
      </c>
    </row>
    <row r="4" spans="1:9" ht="25.5">
      <c r="A4" s="322"/>
      <c r="B4" s="193" t="s">
        <v>152</v>
      </c>
      <c r="C4" s="193" t="s">
        <v>153</v>
      </c>
      <c r="D4" s="193" t="s">
        <v>154</v>
      </c>
      <c r="E4" s="193" t="s">
        <v>155</v>
      </c>
      <c r="F4" s="193" t="s">
        <v>156</v>
      </c>
      <c r="G4" s="193" t="s">
        <v>153</v>
      </c>
      <c r="H4" s="322"/>
      <c r="I4" s="322"/>
    </row>
    <row r="5" spans="1:9" ht="20.25">
      <c r="A5" s="194" t="s">
        <v>157</v>
      </c>
      <c r="B5" s="195"/>
      <c r="C5" s="195"/>
      <c r="D5" s="196"/>
      <c r="E5" s="195"/>
      <c r="F5" s="195"/>
      <c r="G5" s="195"/>
      <c r="H5" s="196"/>
      <c r="I5" s="195"/>
    </row>
    <row r="6" spans="1:9" ht="20.25">
      <c r="A6" s="197" t="s">
        <v>158</v>
      </c>
      <c r="B6" s="198"/>
      <c r="C6" s="198" t="s">
        <v>159</v>
      </c>
      <c r="D6" s="199"/>
      <c r="E6" s="198" t="s">
        <v>160</v>
      </c>
      <c r="F6" s="198">
        <v>12</v>
      </c>
      <c r="G6" s="198" t="s">
        <v>77</v>
      </c>
      <c r="H6" s="199">
        <f>D6*F6</f>
        <v>0</v>
      </c>
      <c r="I6" s="198"/>
    </row>
    <row r="7" spans="1:9" ht="20.25">
      <c r="A7" s="197" t="s">
        <v>161</v>
      </c>
      <c r="B7" s="198"/>
      <c r="C7" s="198" t="s">
        <v>159</v>
      </c>
      <c r="D7" s="199"/>
      <c r="E7" s="198" t="s">
        <v>160</v>
      </c>
      <c r="F7" s="198">
        <v>12</v>
      </c>
      <c r="G7" s="198" t="s">
        <v>77</v>
      </c>
      <c r="H7" s="199">
        <f aca="true" t="shared" si="0" ref="H7:H39">D7*F7</f>
        <v>0</v>
      </c>
      <c r="I7" s="198"/>
    </row>
    <row r="8" spans="1:9" ht="20.25">
      <c r="A8" s="197" t="s">
        <v>162</v>
      </c>
      <c r="B8" s="198"/>
      <c r="C8" s="198" t="s">
        <v>159</v>
      </c>
      <c r="D8" s="199"/>
      <c r="E8" s="198" t="s">
        <v>160</v>
      </c>
      <c r="F8" s="198">
        <v>12</v>
      </c>
      <c r="G8" s="198" t="s">
        <v>77</v>
      </c>
      <c r="H8" s="199">
        <f t="shared" si="0"/>
        <v>0</v>
      </c>
      <c r="I8" s="198"/>
    </row>
    <row r="9" spans="1:9" ht="20.25">
      <c r="A9" s="197" t="s">
        <v>163</v>
      </c>
      <c r="B9" s="198"/>
      <c r="C9" s="198" t="s">
        <v>159</v>
      </c>
      <c r="D9" s="199"/>
      <c r="E9" s="198" t="s">
        <v>160</v>
      </c>
      <c r="F9" s="198">
        <v>12</v>
      </c>
      <c r="G9" s="198" t="s">
        <v>77</v>
      </c>
      <c r="H9" s="199">
        <f t="shared" si="0"/>
        <v>0</v>
      </c>
      <c r="I9" s="198"/>
    </row>
    <row r="10" spans="1:9" ht="20.25">
      <c r="A10" s="200" t="s">
        <v>164</v>
      </c>
      <c r="B10" s="201"/>
      <c r="C10" s="201"/>
      <c r="D10" s="202"/>
      <c r="E10" s="201"/>
      <c r="F10" s="201"/>
      <c r="G10" s="201"/>
      <c r="H10" s="202">
        <f t="shared" si="0"/>
        <v>0</v>
      </c>
      <c r="I10" s="201"/>
    </row>
    <row r="11" spans="1:9" ht="20.25">
      <c r="A11" s="197" t="s">
        <v>165</v>
      </c>
      <c r="B11" s="198"/>
      <c r="C11" s="198" t="s">
        <v>159</v>
      </c>
      <c r="D11" s="199"/>
      <c r="E11" s="198" t="s">
        <v>160</v>
      </c>
      <c r="F11" s="198">
        <v>12</v>
      </c>
      <c r="G11" s="198" t="s">
        <v>77</v>
      </c>
      <c r="H11" s="199">
        <f t="shared" si="0"/>
        <v>0</v>
      </c>
      <c r="I11" s="198"/>
    </row>
    <row r="12" spans="1:9" ht="20.25">
      <c r="A12" s="197" t="s">
        <v>166</v>
      </c>
      <c r="B12" s="198"/>
      <c r="C12" s="198" t="s">
        <v>159</v>
      </c>
      <c r="D12" s="199"/>
      <c r="E12" s="198" t="s">
        <v>160</v>
      </c>
      <c r="F12" s="198">
        <v>12</v>
      </c>
      <c r="G12" s="198" t="s">
        <v>77</v>
      </c>
      <c r="H12" s="199">
        <f t="shared" si="0"/>
        <v>0</v>
      </c>
      <c r="I12" s="198"/>
    </row>
    <row r="13" spans="1:9" ht="20.25">
      <c r="A13" s="197" t="s">
        <v>167</v>
      </c>
      <c r="B13" s="198"/>
      <c r="C13" s="198" t="s">
        <v>159</v>
      </c>
      <c r="D13" s="199"/>
      <c r="E13" s="198" t="s">
        <v>160</v>
      </c>
      <c r="F13" s="198">
        <v>12</v>
      </c>
      <c r="G13" s="198" t="s">
        <v>77</v>
      </c>
      <c r="H13" s="199">
        <f t="shared" si="0"/>
        <v>0</v>
      </c>
      <c r="I13" s="198"/>
    </row>
    <row r="14" spans="1:9" ht="20.25">
      <c r="A14" s="197" t="s">
        <v>168</v>
      </c>
      <c r="B14" s="198"/>
      <c r="C14" s="198" t="s">
        <v>159</v>
      </c>
      <c r="D14" s="199"/>
      <c r="E14" s="198" t="s">
        <v>160</v>
      </c>
      <c r="F14" s="198">
        <v>12</v>
      </c>
      <c r="G14" s="198" t="s">
        <v>77</v>
      </c>
      <c r="H14" s="199">
        <f t="shared" si="0"/>
        <v>0</v>
      </c>
      <c r="I14" s="198"/>
    </row>
    <row r="15" spans="1:9" ht="20.25">
      <c r="A15" s="203" t="s">
        <v>169</v>
      </c>
      <c r="B15" s="201"/>
      <c r="C15" s="201"/>
      <c r="D15" s="202"/>
      <c r="E15" s="201"/>
      <c r="F15" s="201"/>
      <c r="G15" s="201"/>
      <c r="H15" s="202">
        <f t="shared" si="0"/>
        <v>0</v>
      </c>
      <c r="I15" s="201"/>
    </row>
    <row r="16" spans="1:9" ht="20.25">
      <c r="A16" s="197" t="s">
        <v>170</v>
      </c>
      <c r="B16" s="198"/>
      <c r="C16" s="198" t="s">
        <v>159</v>
      </c>
      <c r="D16" s="199"/>
      <c r="E16" s="198" t="s">
        <v>160</v>
      </c>
      <c r="F16" s="198">
        <v>12</v>
      </c>
      <c r="G16" s="198" t="s">
        <v>77</v>
      </c>
      <c r="H16" s="199">
        <f t="shared" si="0"/>
        <v>0</v>
      </c>
      <c r="I16" s="198"/>
    </row>
    <row r="17" spans="1:9" ht="20.25">
      <c r="A17" s="197" t="s">
        <v>171</v>
      </c>
      <c r="B17" s="198"/>
      <c r="C17" s="198" t="s">
        <v>159</v>
      </c>
      <c r="D17" s="199"/>
      <c r="E17" s="198" t="s">
        <v>160</v>
      </c>
      <c r="F17" s="198">
        <v>12</v>
      </c>
      <c r="G17" s="198" t="s">
        <v>77</v>
      </c>
      <c r="H17" s="199">
        <f t="shared" si="0"/>
        <v>0</v>
      </c>
      <c r="I17" s="198"/>
    </row>
    <row r="18" spans="1:9" ht="20.25">
      <c r="A18" s="203" t="s">
        <v>172</v>
      </c>
      <c r="B18" s="201"/>
      <c r="C18" s="201"/>
      <c r="D18" s="202"/>
      <c r="E18" s="201"/>
      <c r="F18" s="201"/>
      <c r="G18" s="201"/>
      <c r="H18" s="202">
        <f t="shared" si="0"/>
        <v>0</v>
      </c>
      <c r="I18" s="201"/>
    </row>
    <row r="19" spans="1:9" ht="20.25">
      <c r="A19" s="197" t="s">
        <v>173</v>
      </c>
      <c r="B19" s="198"/>
      <c r="C19" s="198" t="s">
        <v>159</v>
      </c>
      <c r="D19" s="199"/>
      <c r="E19" s="198" t="s">
        <v>160</v>
      </c>
      <c r="F19" s="198">
        <v>12</v>
      </c>
      <c r="G19" s="198" t="s">
        <v>77</v>
      </c>
      <c r="H19" s="199">
        <f t="shared" si="0"/>
        <v>0</v>
      </c>
      <c r="I19" s="198"/>
    </row>
    <row r="20" spans="1:9" ht="20.25">
      <c r="A20" s="197" t="s">
        <v>174</v>
      </c>
      <c r="B20" s="198"/>
      <c r="C20" s="198" t="s">
        <v>159</v>
      </c>
      <c r="D20" s="199"/>
      <c r="E20" s="198" t="s">
        <v>160</v>
      </c>
      <c r="F20" s="198">
        <v>12</v>
      </c>
      <c r="G20" s="198" t="s">
        <v>77</v>
      </c>
      <c r="H20" s="199">
        <f t="shared" si="0"/>
        <v>0</v>
      </c>
      <c r="I20" s="198"/>
    </row>
    <row r="21" spans="1:9" ht="20.25">
      <c r="A21" s="197" t="s">
        <v>175</v>
      </c>
      <c r="B21" s="198"/>
      <c r="C21" s="198" t="s">
        <v>159</v>
      </c>
      <c r="D21" s="199"/>
      <c r="E21" s="198" t="s">
        <v>160</v>
      </c>
      <c r="F21" s="198">
        <v>12</v>
      </c>
      <c r="G21" s="198" t="s">
        <v>77</v>
      </c>
      <c r="H21" s="199">
        <f t="shared" si="0"/>
        <v>0</v>
      </c>
      <c r="I21" s="198"/>
    </row>
    <row r="22" spans="1:9" ht="20.25">
      <c r="A22" s="203" t="s">
        <v>176</v>
      </c>
      <c r="B22" s="198"/>
      <c r="C22" s="198"/>
      <c r="D22" s="199"/>
      <c r="E22" s="198"/>
      <c r="F22" s="198"/>
      <c r="G22" s="198"/>
      <c r="H22" s="199">
        <f t="shared" si="0"/>
        <v>0</v>
      </c>
      <c r="I22" s="198"/>
    </row>
    <row r="23" spans="1:9" ht="20.25">
      <c r="A23" s="197" t="s">
        <v>177</v>
      </c>
      <c r="B23" s="198"/>
      <c r="C23" s="198" t="s">
        <v>159</v>
      </c>
      <c r="D23" s="199"/>
      <c r="E23" s="198" t="s">
        <v>160</v>
      </c>
      <c r="F23" s="198">
        <v>12</v>
      </c>
      <c r="G23" s="198" t="s">
        <v>77</v>
      </c>
      <c r="H23" s="199">
        <f t="shared" si="0"/>
        <v>0</v>
      </c>
      <c r="I23" s="198"/>
    </row>
    <row r="24" spans="1:9" ht="20.25">
      <c r="A24" s="197" t="s">
        <v>178</v>
      </c>
      <c r="B24" s="198"/>
      <c r="C24" s="198" t="s">
        <v>159</v>
      </c>
      <c r="D24" s="199"/>
      <c r="E24" s="198" t="s">
        <v>160</v>
      </c>
      <c r="F24" s="198">
        <v>12</v>
      </c>
      <c r="G24" s="198" t="s">
        <v>77</v>
      </c>
      <c r="H24" s="199">
        <f t="shared" si="0"/>
        <v>0</v>
      </c>
      <c r="I24" s="198"/>
    </row>
    <row r="25" spans="1:9" ht="20.25">
      <c r="A25" s="203" t="s">
        <v>197</v>
      </c>
      <c r="B25" s="198"/>
      <c r="C25" s="198"/>
      <c r="D25" s="199"/>
      <c r="E25" s="198"/>
      <c r="F25" s="198"/>
      <c r="G25" s="198"/>
      <c r="H25" s="199">
        <f aca="true" t="shared" si="1" ref="H25:H32">D25*F25</f>
        <v>0</v>
      </c>
      <c r="I25" s="198"/>
    </row>
    <row r="26" spans="1:9" ht="20.25">
      <c r="A26" s="197" t="s">
        <v>189</v>
      </c>
      <c r="B26" s="198"/>
      <c r="C26" s="198"/>
      <c r="D26" s="199"/>
      <c r="E26" s="198"/>
      <c r="F26" s="198">
        <v>12</v>
      </c>
      <c r="G26" s="198" t="s">
        <v>77</v>
      </c>
      <c r="H26" s="199">
        <f t="shared" si="1"/>
        <v>0</v>
      </c>
      <c r="I26" s="198"/>
    </row>
    <row r="27" spans="1:9" ht="20.25">
      <c r="A27" s="197" t="s">
        <v>191</v>
      </c>
      <c r="B27" s="198"/>
      <c r="C27" s="198"/>
      <c r="D27" s="199"/>
      <c r="E27" s="198"/>
      <c r="F27" s="198">
        <v>12</v>
      </c>
      <c r="G27" s="198" t="s">
        <v>77</v>
      </c>
      <c r="H27" s="199">
        <f t="shared" si="1"/>
        <v>0</v>
      </c>
      <c r="I27" s="198"/>
    </row>
    <row r="28" spans="1:9" ht="20.25">
      <c r="A28" s="197" t="s">
        <v>193</v>
      </c>
      <c r="B28" s="198"/>
      <c r="C28" s="198"/>
      <c r="D28" s="199"/>
      <c r="E28" s="198"/>
      <c r="F28" s="198">
        <v>12</v>
      </c>
      <c r="G28" s="198" t="s">
        <v>77</v>
      </c>
      <c r="H28" s="199">
        <f t="shared" si="1"/>
        <v>0</v>
      </c>
      <c r="I28" s="198"/>
    </row>
    <row r="29" spans="1:9" ht="20.25">
      <c r="A29" s="197" t="s">
        <v>194</v>
      </c>
      <c r="B29" s="198"/>
      <c r="C29" s="198"/>
      <c r="D29" s="199"/>
      <c r="E29" s="198"/>
      <c r="F29" s="198">
        <v>12</v>
      </c>
      <c r="G29" s="198" t="s">
        <v>77</v>
      </c>
      <c r="H29" s="199">
        <f t="shared" si="1"/>
        <v>0</v>
      </c>
      <c r="I29" s="198"/>
    </row>
    <row r="30" spans="1:9" ht="20.25">
      <c r="A30" s="197" t="s">
        <v>195</v>
      </c>
      <c r="B30" s="198"/>
      <c r="C30" s="198"/>
      <c r="D30" s="199"/>
      <c r="E30" s="198"/>
      <c r="F30" s="198">
        <v>12</v>
      </c>
      <c r="G30" s="198" t="s">
        <v>77</v>
      </c>
      <c r="H30" s="199">
        <f t="shared" si="1"/>
        <v>0</v>
      </c>
      <c r="I30" s="198"/>
    </row>
    <row r="31" spans="1:9" ht="20.25">
      <c r="A31" s="197" t="s">
        <v>196</v>
      </c>
      <c r="B31" s="198"/>
      <c r="C31" s="198"/>
      <c r="D31" s="199"/>
      <c r="E31" s="198"/>
      <c r="F31" s="198">
        <v>12</v>
      </c>
      <c r="G31" s="198" t="s">
        <v>77</v>
      </c>
      <c r="H31" s="199">
        <f t="shared" si="1"/>
        <v>0</v>
      </c>
      <c r="I31" s="198"/>
    </row>
    <row r="32" spans="1:9" ht="20.25">
      <c r="A32" s="197" t="s">
        <v>198</v>
      </c>
      <c r="B32" s="198"/>
      <c r="C32" s="198"/>
      <c r="D32" s="199"/>
      <c r="E32" s="198"/>
      <c r="F32" s="198">
        <v>12</v>
      </c>
      <c r="G32" s="198" t="s">
        <v>77</v>
      </c>
      <c r="H32" s="199">
        <f t="shared" si="1"/>
        <v>0</v>
      </c>
      <c r="I32" s="198"/>
    </row>
    <row r="33" spans="1:9" ht="20.25">
      <c r="A33" s="203" t="s">
        <v>179</v>
      </c>
      <c r="B33" s="198"/>
      <c r="C33" s="198"/>
      <c r="D33" s="199"/>
      <c r="E33" s="198"/>
      <c r="F33" s="198"/>
      <c r="G33" s="198"/>
      <c r="H33" s="199">
        <f t="shared" si="0"/>
        <v>0</v>
      </c>
      <c r="I33" s="198"/>
    </row>
    <row r="34" spans="1:9" ht="20.25">
      <c r="A34" s="197" t="s">
        <v>180</v>
      </c>
      <c r="B34" s="198"/>
      <c r="C34" s="198" t="s">
        <v>159</v>
      </c>
      <c r="D34" s="199"/>
      <c r="E34" s="198" t="s">
        <v>160</v>
      </c>
      <c r="F34" s="198">
        <v>12</v>
      </c>
      <c r="G34" s="198" t="s">
        <v>77</v>
      </c>
      <c r="H34" s="199">
        <f t="shared" si="0"/>
        <v>0</v>
      </c>
      <c r="I34" s="198"/>
    </row>
    <row r="35" spans="1:9" ht="20.25">
      <c r="A35" s="197" t="s">
        <v>181</v>
      </c>
      <c r="B35" s="198"/>
      <c r="C35" s="198" t="s">
        <v>159</v>
      </c>
      <c r="D35" s="199"/>
      <c r="E35" s="198" t="s">
        <v>160</v>
      </c>
      <c r="F35" s="198">
        <v>12</v>
      </c>
      <c r="G35" s="198" t="s">
        <v>77</v>
      </c>
      <c r="H35" s="199">
        <f t="shared" si="0"/>
        <v>0</v>
      </c>
      <c r="I35" s="198"/>
    </row>
    <row r="36" spans="1:9" ht="20.25">
      <c r="A36" s="197" t="s">
        <v>182</v>
      </c>
      <c r="B36" s="198"/>
      <c r="C36" s="198" t="s">
        <v>159</v>
      </c>
      <c r="D36" s="199"/>
      <c r="E36" s="198" t="s">
        <v>160</v>
      </c>
      <c r="F36" s="198">
        <v>12</v>
      </c>
      <c r="G36" s="198" t="s">
        <v>77</v>
      </c>
      <c r="H36" s="199">
        <f t="shared" si="0"/>
        <v>0</v>
      </c>
      <c r="I36" s="198"/>
    </row>
    <row r="37" spans="1:9" ht="20.25">
      <c r="A37" s="197" t="s">
        <v>183</v>
      </c>
      <c r="B37" s="198"/>
      <c r="C37" s="198" t="s">
        <v>159</v>
      </c>
      <c r="D37" s="199"/>
      <c r="E37" s="198" t="s">
        <v>160</v>
      </c>
      <c r="F37" s="198">
        <v>12</v>
      </c>
      <c r="G37" s="198" t="s">
        <v>77</v>
      </c>
      <c r="H37" s="199">
        <f t="shared" si="0"/>
        <v>0</v>
      </c>
      <c r="I37" s="204" t="s">
        <v>184</v>
      </c>
    </row>
    <row r="38" spans="1:9" ht="20.25">
      <c r="A38" s="197" t="s">
        <v>185</v>
      </c>
      <c r="B38" s="198"/>
      <c r="C38" s="198" t="s">
        <v>186</v>
      </c>
      <c r="D38" s="199"/>
      <c r="E38" s="198" t="s">
        <v>160</v>
      </c>
      <c r="F38" s="198">
        <v>12</v>
      </c>
      <c r="G38" s="198" t="s">
        <v>77</v>
      </c>
      <c r="H38" s="199">
        <f t="shared" si="0"/>
        <v>0</v>
      </c>
      <c r="I38" s="204" t="s">
        <v>184</v>
      </c>
    </row>
    <row r="39" spans="1:9" ht="20.25">
      <c r="A39" s="197" t="s">
        <v>187</v>
      </c>
      <c r="B39" s="198"/>
      <c r="C39" s="198" t="s">
        <v>188</v>
      </c>
      <c r="D39" s="199"/>
      <c r="E39" s="198" t="s">
        <v>160</v>
      </c>
      <c r="F39" s="198">
        <v>12</v>
      </c>
      <c r="G39" s="198" t="s">
        <v>77</v>
      </c>
      <c r="H39" s="199">
        <f t="shared" si="0"/>
        <v>0</v>
      </c>
      <c r="I39" s="198"/>
    </row>
    <row r="40" spans="1:9" ht="20.25">
      <c r="A40" s="203" t="s">
        <v>201</v>
      </c>
      <c r="B40" s="198"/>
      <c r="C40" s="198"/>
      <c r="D40" s="199"/>
      <c r="E40" s="198"/>
      <c r="F40" s="198"/>
      <c r="G40" s="198"/>
      <c r="H40" s="199">
        <f aca="true" t="shared" si="2" ref="H40:H45">D40*F40</f>
        <v>0</v>
      </c>
      <c r="I40" s="198"/>
    </row>
    <row r="41" spans="1:9" ht="20.25">
      <c r="A41" s="197" t="s">
        <v>199</v>
      </c>
      <c r="B41" s="198"/>
      <c r="C41" s="198"/>
      <c r="D41" s="199"/>
      <c r="E41" s="198"/>
      <c r="F41" s="198">
        <v>12</v>
      </c>
      <c r="G41" s="198" t="s">
        <v>77</v>
      </c>
      <c r="H41" s="199">
        <f t="shared" si="2"/>
        <v>0</v>
      </c>
      <c r="I41" s="198"/>
    </row>
    <row r="42" spans="1:9" ht="20.25">
      <c r="A42" s="197" t="s">
        <v>202</v>
      </c>
      <c r="B42" s="198"/>
      <c r="C42" s="198"/>
      <c r="D42" s="199"/>
      <c r="E42" s="198"/>
      <c r="F42" s="198">
        <v>12</v>
      </c>
      <c r="G42" s="198" t="s">
        <v>77</v>
      </c>
      <c r="H42" s="199">
        <f t="shared" si="2"/>
        <v>0</v>
      </c>
      <c r="I42" s="198"/>
    </row>
    <row r="43" spans="1:9" ht="20.25">
      <c r="A43" s="197" t="s">
        <v>190</v>
      </c>
      <c r="B43" s="198"/>
      <c r="C43" s="198"/>
      <c r="D43" s="199"/>
      <c r="E43" s="198"/>
      <c r="F43" s="198">
        <v>12</v>
      </c>
      <c r="G43" s="198" t="s">
        <v>77</v>
      </c>
      <c r="H43" s="199">
        <f t="shared" si="2"/>
        <v>0</v>
      </c>
      <c r="I43" s="198"/>
    </row>
    <row r="44" spans="1:9" ht="20.25">
      <c r="A44" s="197" t="s">
        <v>192</v>
      </c>
      <c r="B44" s="198"/>
      <c r="C44" s="198"/>
      <c r="D44" s="199"/>
      <c r="E44" s="198"/>
      <c r="F44" s="198">
        <v>12</v>
      </c>
      <c r="G44" s="198" t="s">
        <v>77</v>
      </c>
      <c r="H44" s="199">
        <f t="shared" si="2"/>
        <v>0</v>
      </c>
      <c r="I44" s="198"/>
    </row>
    <row r="45" spans="1:9" ht="20.25">
      <c r="A45" s="197" t="s">
        <v>200</v>
      </c>
      <c r="B45" s="198"/>
      <c r="C45" s="198"/>
      <c r="D45" s="199"/>
      <c r="E45" s="198"/>
      <c r="F45" s="198">
        <v>12</v>
      </c>
      <c r="G45" s="198" t="s">
        <v>77</v>
      </c>
      <c r="H45" s="199">
        <f t="shared" si="2"/>
        <v>0</v>
      </c>
      <c r="I45" s="198"/>
    </row>
    <row r="46" spans="1:9" ht="20.25">
      <c r="A46" s="317" t="s">
        <v>13</v>
      </c>
      <c r="B46" s="318"/>
      <c r="C46" s="318"/>
      <c r="D46" s="318"/>
      <c r="E46" s="318"/>
      <c r="F46" s="318"/>
      <c r="G46" s="319"/>
      <c r="H46" s="206">
        <f>SUM(H6:H45)</f>
        <v>0</v>
      </c>
      <c r="I46" s="205"/>
    </row>
  </sheetData>
  <sheetProtection/>
  <mergeCells count="9">
    <mergeCell ref="A46:G46"/>
    <mergeCell ref="A1:I1"/>
    <mergeCell ref="A2:I2"/>
    <mergeCell ref="A3:A4"/>
    <mergeCell ref="B3:C3"/>
    <mergeCell ref="D3:E3"/>
    <mergeCell ref="F3:G3"/>
    <mergeCell ref="H3:H4"/>
    <mergeCell ref="I3:I4"/>
  </mergeCells>
  <printOptions horizontalCentered="1"/>
  <pageMargins left="0.25" right="0.25" top="0.5" bottom="0.25" header="0.31496062992126" footer="0.31496062992126"/>
  <pageSetup fitToHeight="1" fitToWidth="1" horizontalDpi="300" verticalDpi="300" orientation="portrait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9"/>
  <sheetViews>
    <sheetView view="pageBreakPreview" zoomScaleSheetLayoutView="100" zoomScalePageLayoutView="0" workbookViewId="0" topLeftCell="A1">
      <selection activeCell="P8" sqref="P8"/>
    </sheetView>
  </sheetViews>
  <sheetFormatPr defaultColWidth="7.8515625" defaultRowHeight="15"/>
  <cols>
    <col min="1" max="1" width="12.7109375" style="40" bestFit="1" customWidth="1"/>
    <col min="2" max="2" width="9.00390625" style="41" bestFit="1" customWidth="1"/>
    <col min="3" max="3" width="11.421875" style="40" bestFit="1" customWidth="1"/>
    <col min="4" max="4" width="10.140625" style="40" bestFit="1" customWidth="1"/>
    <col min="5" max="5" width="13.8515625" style="40" bestFit="1" customWidth="1"/>
    <col min="6" max="6" width="9.00390625" style="41" bestFit="1" customWidth="1"/>
    <col min="7" max="7" width="11.421875" style="40" bestFit="1" customWidth="1"/>
    <col min="8" max="8" width="10.140625" style="40" bestFit="1" customWidth="1"/>
    <col min="9" max="9" width="13.8515625" style="40" bestFit="1" customWidth="1"/>
    <col min="10" max="10" width="9.00390625" style="41" bestFit="1" customWidth="1"/>
    <col min="11" max="11" width="11.421875" style="40" bestFit="1" customWidth="1"/>
    <col min="12" max="12" width="10.140625" style="40" bestFit="1" customWidth="1"/>
    <col min="13" max="16384" width="7.8515625" style="40" customWidth="1"/>
  </cols>
  <sheetData>
    <row r="1" spans="1:12" s="1" customFormat="1" ht="20.25">
      <c r="A1" s="212" t="s">
        <v>204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" customFormat="1" ht="20.25">
      <c r="A2" s="212" t="s">
        <v>46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1" customFormat="1" ht="20.25">
      <c r="A3" s="215" t="s">
        <v>43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1" customFormat="1" ht="20.25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9.5">
      <c r="A5" s="217" t="s">
        <v>207</v>
      </c>
      <c r="B5" s="217"/>
      <c r="C5" s="217"/>
      <c r="D5" s="217"/>
      <c r="E5" s="217" t="s">
        <v>208</v>
      </c>
      <c r="F5" s="217"/>
      <c r="G5" s="217"/>
      <c r="H5" s="217"/>
      <c r="I5" s="218" t="s">
        <v>0</v>
      </c>
      <c r="J5" s="219"/>
      <c r="K5" s="219"/>
      <c r="L5" s="220"/>
    </row>
    <row r="6" spans="1:12" ht="19.5">
      <c r="A6" s="53" t="s">
        <v>1</v>
      </c>
      <c r="B6" s="54" t="s">
        <v>2</v>
      </c>
      <c r="C6" s="3" t="s">
        <v>3</v>
      </c>
      <c r="D6" s="55" t="s">
        <v>4</v>
      </c>
      <c r="E6" s="56" t="s">
        <v>1</v>
      </c>
      <c r="F6" s="54" t="s">
        <v>2</v>
      </c>
      <c r="G6" s="3" t="s">
        <v>3</v>
      </c>
      <c r="H6" s="55" t="s">
        <v>4</v>
      </c>
      <c r="I6" s="56" t="s">
        <v>1</v>
      </c>
      <c r="J6" s="54" t="s">
        <v>2</v>
      </c>
      <c r="K6" s="3" t="s">
        <v>3</v>
      </c>
      <c r="L6" s="55" t="s">
        <v>4</v>
      </c>
    </row>
    <row r="7" spans="1:12" ht="19.5">
      <c r="A7" s="25" t="s">
        <v>26</v>
      </c>
      <c r="B7" s="26"/>
      <c r="C7" s="27"/>
      <c r="D7" s="27"/>
      <c r="E7" s="25" t="s">
        <v>26</v>
      </c>
      <c r="F7" s="26"/>
      <c r="G7" s="28"/>
      <c r="H7" s="28"/>
      <c r="I7" s="25" t="s">
        <v>26</v>
      </c>
      <c r="J7" s="26"/>
      <c r="K7" s="29"/>
      <c r="L7" s="29"/>
    </row>
    <row r="8" spans="1:12" ht="19.5">
      <c r="A8" s="25" t="s">
        <v>35</v>
      </c>
      <c r="B8" s="26"/>
      <c r="C8" s="27"/>
      <c r="D8" s="27"/>
      <c r="E8" s="25" t="s">
        <v>35</v>
      </c>
      <c r="F8" s="26"/>
      <c r="G8" s="28"/>
      <c r="H8" s="28"/>
      <c r="I8" s="25" t="s">
        <v>35</v>
      </c>
      <c r="J8" s="26"/>
      <c r="K8" s="29"/>
      <c r="L8" s="29"/>
    </row>
    <row r="9" spans="1:12" ht="19.5">
      <c r="A9" s="30" t="s">
        <v>27</v>
      </c>
      <c r="B9" s="26"/>
      <c r="C9" s="27"/>
      <c r="D9" s="27"/>
      <c r="E9" s="30" t="s">
        <v>27</v>
      </c>
      <c r="F9" s="26"/>
      <c r="G9" s="28"/>
      <c r="H9" s="28"/>
      <c r="I9" s="30" t="s">
        <v>27</v>
      </c>
      <c r="J9" s="26"/>
      <c r="K9" s="29"/>
      <c r="L9" s="29"/>
    </row>
    <row r="10" spans="1:12" ht="19.5">
      <c r="A10" s="31" t="s">
        <v>28</v>
      </c>
      <c r="B10" s="32"/>
      <c r="C10" s="33"/>
      <c r="D10" s="33"/>
      <c r="E10" s="31" t="s">
        <v>28</v>
      </c>
      <c r="F10" s="32"/>
      <c r="G10" s="33"/>
      <c r="H10" s="34"/>
      <c r="I10" s="31" t="s">
        <v>28</v>
      </c>
      <c r="J10" s="32"/>
      <c r="K10" s="35"/>
      <c r="L10" s="35"/>
    </row>
    <row r="11" spans="1:12" ht="19.5">
      <c r="A11" s="25" t="s">
        <v>29</v>
      </c>
      <c r="B11" s="37"/>
      <c r="C11" s="38"/>
      <c r="D11" s="38"/>
      <c r="E11" s="36" t="s">
        <v>29</v>
      </c>
      <c r="F11" s="26"/>
      <c r="G11" s="38"/>
      <c r="H11" s="28"/>
      <c r="I11" s="36" t="s">
        <v>29</v>
      </c>
      <c r="J11" s="26"/>
      <c r="K11" s="29"/>
      <c r="L11" s="29"/>
    </row>
    <row r="12" spans="1:12" ht="19.5">
      <c r="A12" s="25" t="s">
        <v>30</v>
      </c>
      <c r="B12" s="37"/>
      <c r="C12" s="38"/>
      <c r="D12" s="38"/>
      <c r="E12" s="36" t="s">
        <v>30</v>
      </c>
      <c r="F12" s="26"/>
      <c r="G12" s="38"/>
      <c r="H12" s="28"/>
      <c r="I12" s="36" t="s">
        <v>30</v>
      </c>
      <c r="J12" s="26"/>
      <c r="K12" s="29"/>
      <c r="L12" s="29"/>
    </row>
    <row r="13" spans="1:12" ht="19.5">
      <c r="A13" s="25" t="s">
        <v>31</v>
      </c>
      <c r="B13" s="37"/>
      <c r="C13" s="38"/>
      <c r="D13" s="38"/>
      <c r="E13" s="36" t="s">
        <v>31</v>
      </c>
      <c r="F13" s="26"/>
      <c r="G13" s="38"/>
      <c r="H13" s="28"/>
      <c r="I13" s="36" t="s">
        <v>31</v>
      </c>
      <c r="J13" s="26"/>
      <c r="K13" s="29"/>
      <c r="L13" s="29"/>
    </row>
    <row r="14" spans="1:12" ht="19.5">
      <c r="A14" s="32" t="s">
        <v>32</v>
      </c>
      <c r="B14" s="32"/>
      <c r="C14" s="39"/>
      <c r="D14" s="39"/>
      <c r="E14" s="32" t="s">
        <v>32</v>
      </c>
      <c r="F14" s="32"/>
      <c r="G14" s="39"/>
      <c r="H14" s="34"/>
      <c r="I14" s="32" t="s">
        <v>32</v>
      </c>
      <c r="J14" s="32"/>
      <c r="K14" s="35"/>
      <c r="L14" s="35"/>
    </row>
    <row r="15" spans="1:12" ht="19.5">
      <c r="A15" s="52" t="s">
        <v>33</v>
      </c>
      <c r="B15" s="52"/>
      <c r="C15" s="62"/>
      <c r="D15" s="62"/>
      <c r="E15" s="86" t="s">
        <v>33</v>
      </c>
      <c r="F15" s="86"/>
      <c r="G15" s="84"/>
      <c r="H15" s="84"/>
      <c r="I15" s="86" t="s">
        <v>33</v>
      </c>
      <c r="J15" s="87"/>
      <c r="K15" s="85"/>
      <c r="L15" s="85"/>
    </row>
    <row r="16" spans="1:13" ht="19.5">
      <c r="A16" s="88"/>
      <c r="B16" s="89"/>
      <c r="C16" s="90"/>
      <c r="D16" s="90"/>
      <c r="E16" s="89"/>
      <c r="F16" s="89"/>
      <c r="G16" s="89"/>
      <c r="H16" s="89"/>
      <c r="I16" s="89"/>
      <c r="J16" s="91"/>
      <c r="K16" s="89"/>
      <c r="L16" s="89"/>
      <c r="M16" s="57"/>
    </row>
    <row r="17" spans="1:12" s="1" customFormat="1" ht="20.25">
      <c r="A17" s="221" t="s">
        <v>34</v>
      </c>
      <c r="B17" s="221"/>
      <c r="C17" s="221"/>
      <c r="D17" s="78">
        <f>+D15</f>
        <v>0</v>
      </c>
      <c r="E17" s="230"/>
      <c r="F17" s="231"/>
      <c r="G17" s="232"/>
      <c r="H17" s="78">
        <f>+H15</f>
        <v>0</v>
      </c>
      <c r="I17" s="230"/>
      <c r="J17" s="231"/>
      <c r="K17" s="232"/>
      <c r="L17" s="19">
        <f>+L15</f>
        <v>0</v>
      </c>
    </row>
    <row r="18" spans="1:12" s="1" customFormat="1" ht="20.25">
      <c r="A18" s="225" t="s">
        <v>24</v>
      </c>
      <c r="B18" s="225"/>
      <c r="C18" s="225"/>
      <c r="D18" s="20">
        <f>D17*20%</f>
        <v>0</v>
      </c>
      <c r="E18" s="222"/>
      <c r="F18" s="223"/>
      <c r="G18" s="224"/>
      <c r="H18" s="20">
        <f>H17*20%</f>
        <v>0</v>
      </c>
      <c r="I18" s="222"/>
      <c r="J18" s="223"/>
      <c r="K18" s="224"/>
      <c r="L18" s="20">
        <f>L17*20%</f>
        <v>0</v>
      </c>
    </row>
    <row r="19" spans="1:12" s="1" customFormat="1" ht="20.25">
      <c r="A19" s="225" t="s">
        <v>25</v>
      </c>
      <c r="B19" s="225"/>
      <c r="C19" s="225"/>
      <c r="D19" s="20">
        <f>D17*10%</f>
        <v>0</v>
      </c>
      <c r="E19" s="222"/>
      <c r="F19" s="223"/>
      <c r="G19" s="224"/>
      <c r="H19" s="20">
        <f>H17*10%</f>
        <v>0</v>
      </c>
      <c r="I19" s="222"/>
      <c r="J19" s="223"/>
      <c r="K19" s="224"/>
      <c r="L19" s="20">
        <f>L17*10%</f>
        <v>0</v>
      </c>
    </row>
    <row r="20" spans="1:12" s="1" customFormat="1" ht="20.25">
      <c r="A20" s="226" t="s">
        <v>16</v>
      </c>
      <c r="B20" s="226"/>
      <c r="C20" s="226"/>
      <c r="D20" s="20">
        <f>D17*70%</f>
        <v>0</v>
      </c>
      <c r="E20" s="222"/>
      <c r="F20" s="223"/>
      <c r="G20" s="224"/>
      <c r="H20" s="20">
        <f>H17*70%</f>
        <v>0</v>
      </c>
      <c r="I20" s="222"/>
      <c r="J20" s="223"/>
      <c r="K20" s="224"/>
      <c r="L20" s="20">
        <f>L17*70%</f>
        <v>0</v>
      </c>
    </row>
    <row r="21" spans="1:12" ht="19.5">
      <c r="A21" s="227" t="s">
        <v>17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1:13" ht="19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9.5">
      <c r="A23" s="58"/>
      <c r="B23" s="59"/>
      <c r="C23" s="60"/>
      <c r="D23" s="60"/>
      <c r="E23" s="58"/>
      <c r="F23" s="59"/>
      <c r="G23" s="60"/>
      <c r="H23" s="60"/>
      <c r="I23" s="58"/>
      <c r="J23" s="59"/>
      <c r="K23" s="60"/>
      <c r="L23" s="60"/>
      <c r="M23" s="58"/>
    </row>
    <row r="24" spans="1:13" ht="19.5">
      <c r="A24" s="58"/>
      <c r="B24" s="59"/>
      <c r="C24" s="58"/>
      <c r="D24" s="58"/>
      <c r="E24" s="58"/>
      <c r="F24" s="59"/>
      <c r="G24" s="58"/>
      <c r="H24" s="58"/>
      <c r="I24" s="58"/>
      <c r="J24" s="59"/>
      <c r="K24" s="58"/>
      <c r="L24" s="58"/>
      <c r="M24" s="58"/>
    </row>
    <row r="25" spans="1:13" ht="19.5">
      <c r="A25" s="58"/>
      <c r="B25" s="59"/>
      <c r="C25" s="58"/>
      <c r="D25" s="58"/>
      <c r="E25" s="58"/>
      <c r="F25" s="59"/>
      <c r="G25" s="58"/>
      <c r="H25" s="58"/>
      <c r="I25" s="58"/>
      <c r="J25" s="59"/>
      <c r="K25" s="58"/>
      <c r="L25" s="58"/>
      <c r="M25" s="58"/>
    </row>
    <row r="26" spans="1:13" ht="19.5">
      <c r="A26" s="58"/>
      <c r="B26" s="59"/>
      <c r="C26" s="58"/>
      <c r="D26" s="58"/>
      <c r="E26" s="58"/>
      <c r="F26" s="59"/>
      <c r="G26" s="58"/>
      <c r="H26" s="58"/>
      <c r="I26" s="58"/>
      <c r="J26" s="59"/>
      <c r="K26" s="58"/>
      <c r="L26" s="58"/>
      <c r="M26" s="58"/>
    </row>
    <row r="29" ht="19.5">
      <c r="K29" s="61"/>
    </row>
  </sheetData>
  <sheetProtection/>
  <mergeCells count="19">
    <mergeCell ref="A20:C20"/>
    <mergeCell ref="A21:L21"/>
    <mergeCell ref="A1:L1"/>
    <mergeCell ref="A2:L2"/>
    <mergeCell ref="A3:L3"/>
    <mergeCell ref="E17:G17"/>
    <mergeCell ref="I17:K17"/>
    <mergeCell ref="A5:D5"/>
    <mergeCell ref="E20:G20"/>
    <mergeCell ref="I20:K20"/>
    <mergeCell ref="E5:H5"/>
    <mergeCell ref="I5:L5"/>
    <mergeCell ref="A17:C17"/>
    <mergeCell ref="E18:G18"/>
    <mergeCell ref="I18:K18"/>
    <mergeCell ref="E19:G19"/>
    <mergeCell ref="I19:K19"/>
    <mergeCell ref="A18:C18"/>
    <mergeCell ref="A19:C19"/>
  </mergeCells>
  <printOptions horizontalCentered="1"/>
  <pageMargins left="0.25" right="0.25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2"/>
  <sheetViews>
    <sheetView view="pageBreakPreview" zoomScaleSheetLayoutView="100" zoomScalePageLayoutView="0" workbookViewId="0" topLeftCell="A1">
      <selection activeCell="E6" sqref="E6"/>
    </sheetView>
  </sheetViews>
  <sheetFormatPr defaultColWidth="8.28125" defaultRowHeight="15"/>
  <cols>
    <col min="1" max="1" width="7.00390625" style="1" bestFit="1" customWidth="1"/>
    <col min="2" max="2" width="9.421875" style="1" bestFit="1" customWidth="1"/>
    <col min="3" max="3" width="11.421875" style="21" bestFit="1" customWidth="1"/>
    <col min="4" max="4" width="9.28125" style="21" bestFit="1" customWidth="1"/>
    <col min="5" max="5" width="7.00390625" style="21" bestFit="1" customWidth="1"/>
    <col min="6" max="6" width="9.421875" style="21" bestFit="1" customWidth="1"/>
    <col min="7" max="7" width="11.421875" style="21" bestFit="1" customWidth="1"/>
    <col min="8" max="8" width="9.28125" style="22" bestFit="1" customWidth="1"/>
    <col min="9" max="9" width="7.00390625" style="1" bestFit="1" customWidth="1"/>
    <col min="10" max="10" width="9.421875" style="1" bestFit="1" customWidth="1"/>
    <col min="11" max="11" width="11.421875" style="1" bestFit="1" customWidth="1"/>
    <col min="12" max="12" width="9.28125" style="1" bestFit="1" customWidth="1"/>
    <col min="13" max="16384" width="8.28125" style="1" customWidth="1"/>
  </cols>
  <sheetData>
    <row r="1" spans="1:12" ht="20.25">
      <c r="A1" s="212" t="s">
        <v>204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20.25">
      <c r="A2" s="212" t="s">
        <v>45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20.25">
      <c r="A3" s="215" t="s">
        <v>43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20.25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>
      <c r="A5" s="236" t="s">
        <v>209</v>
      </c>
      <c r="B5" s="236"/>
      <c r="C5" s="236"/>
      <c r="D5" s="236"/>
      <c r="E5" s="236" t="s">
        <v>208</v>
      </c>
      <c r="F5" s="236"/>
      <c r="G5" s="236"/>
      <c r="H5" s="236"/>
      <c r="I5" s="237" t="s">
        <v>0</v>
      </c>
      <c r="J5" s="237"/>
      <c r="K5" s="237"/>
      <c r="L5" s="237"/>
    </row>
    <row r="6" spans="1:12" ht="20.25">
      <c r="A6" s="2" t="s">
        <v>1</v>
      </c>
      <c r="B6" s="2" t="s">
        <v>2</v>
      </c>
      <c r="C6" s="3" t="s">
        <v>3</v>
      </c>
      <c r="D6" s="4" t="s">
        <v>4</v>
      </c>
      <c r="E6" s="4" t="s">
        <v>1</v>
      </c>
      <c r="F6" s="2" t="s">
        <v>2</v>
      </c>
      <c r="G6" s="3" t="s">
        <v>3</v>
      </c>
      <c r="H6" s="4" t="s">
        <v>4</v>
      </c>
      <c r="I6" s="5" t="s">
        <v>1</v>
      </c>
      <c r="J6" s="2" t="s">
        <v>2</v>
      </c>
      <c r="K6" s="3" t="s">
        <v>3</v>
      </c>
      <c r="L6" s="4" t="s">
        <v>4</v>
      </c>
    </row>
    <row r="7" spans="1:12" ht="20.25">
      <c r="A7" s="6" t="s">
        <v>18</v>
      </c>
      <c r="B7" s="7"/>
      <c r="C7" s="8"/>
      <c r="D7" s="8"/>
      <c r="E7" s="6" t="s">
        <v>18</v>
      </c>
      <c r="F7" s="9"/>
      <c r="G7" s="8"/>
      <c r="H7" s="8"/>
      <c r="I7" s="6" t="s">
        <v>18</v>
      </c>
      <c r="J7" s="10"/>
      <c r="K7" s="8"/>
      <c r="L7" s="11"/>
    </row>
    <row r="8" spans="1:12" ht="20.25">
      <c r="A8" s="6" t="s">
        <v>19</v>
      </c>
      <c r="B8" s="7"/>
      <c r="C8" s="8"/>
      <c r="D8" s="8"/>
      <c r="E8" s="6" t="s">
        <v>19</v>
      </c>
      <c r="F8" s="9"/>
      <c r="G8" s="8"/>
      <c r="H8" s="8"/>
      <c r="I8" s="6" t="s">
        <v>19</v>
      </c>
      <c r="J8" s="10"/>
      <c r="K8" s="8"/>
      <c r="L8" s="11"/>
    </row>
    <row r="9" spans="1:12" ht="20.25">
      <c r="A9" s="6" t="s">
        <v>20</v>
      </c>
      <c r="B9" s="7"/>
      <c r="C9" s="8"/>
      <c r="D9" s="8"/>
      <c r="E9" s="6" t="s">
        <v>20</v>
      </c>
      <c r="F9" s="9"/>
      <c r="G9" s="8"/>
      <c r="H9" s="8"/>
      <c r="I9" s="6" t="s">
        <v>20</v>
      </c>
      <c r="J9" s="10"/>
      <c r="K9" s="8"/>
      <c r="L9" s="11"/>
    </row>
    <row r="10" spans="1:12" ht="20.25">
      <c r="A10" s="6" t="s">
        <v>21</v>
      </c>
      <c r="B10" s="7"/>
      <c r="C10" s="8"/>
      <c r="D10" s="8"/>
      <c r="E10" s="6" t="s">
        <v>21</v>
      </c>
      <c r="F10" s="9"/>
      <c r="G10" s="8"/>
      <c r="H10" s="8"/>
      <c r="I10" s="6" t="s">
        <v>21</v>
      </c>
      <c r="J10" s="10"/>
      <c r="K10" s="8"/>
      <c r="L10" s="11"/>
    </row>
    <row r="11" spans="1:12" ht="20.25">
      <c r="A11" s="6" t="s">
        <v>22</v>
      </c>
      <c r="B11" s="7"/>
      <c r="C11" s="8"/>
      <c r="D11" s="8"/>
      <c r="E11" s="6" t="s">
        <v>22</v>
      </c>
      <c r="F11" s="9"/>
      <c r="G11" s="8"/>
      <c r="H11" s="8"/>
      <c r="I11" s="6" t="s">
        <v>22</v>
      </c>
      <c r="J11" s="10"/>
      <c r="K11" s="8"/>
      <c r="L11" s="11"/>
    </row>
    <row r="12" spans="1:12" ht="20.25">
      <c r="A12" s="6" t="s">
        <v>23</v>
      </c>
      <c r="B12" s="7"/>
      <c r="C12" s="8"/>
      <c r="D12" s="8"/>
      <c r="E12" s="6" t="s">
        <v>23</v>
      </c>
      <c r="F12" s="9"/>
      <c r="G12" s="8"/>
      <c r="H12" s="8"/>
      <c r="I12" s="6" t="s">
        <v>23</v>
      </c>
      <c r="J12" s="10"/>
      <c r="K12" s="8"/>
      <c r="L12" s="11"/>
    </row>
    <row r="13" spans="1:12" ht="20.25">
      <c r="A13" s="12" t="s">
        <v>13</v>
      </c>
      <c r="B13" s="12"/>
      <c r="C13" s="13"/>
      <c r="D13" s="13"/>
      <c r="E13" s="12" t="s">
        <v>13</v>
      </c>
      <c r="F13" s="14"/>
      <c r="G13" s="13"/>
      <c r="H13" s="13"/>
      <c r="I13" s="12" t="s">
        <v>13</v>
      </c>
      <c r="J13" s="15"/>
      <c r="K13" s="16"/>
      <c r="L13" s="17"/>
    </row>
    <row r="14" spans="1:12" ht="20.25">
      <c r="A14" s="80"/>
      <c r="B14" s="80"/>
      <c r="C14" s="81"/>
      <c r="D14" s="81"/>
      <c r="E14" s="81"/>
      <c r="F14" s="81"/>
      <c r="G14" s="82"/>
      <c r="H14" s="83"/>
      <c r="I14" s="50"/>
      <c r="J14" s="50"/>
      <c r="K14" s="50"/>
      <c r="L14" s="50"/>
    </row>
    <row r="15" spans="1:12" ht="20.25">
      <c r="A15" s="221" t="s">
        <v>34</v>
      </c>
      <c r="B15" s="221"/>
      <c r="C15" s="221"/>
      <c r="D15" s="18">
        <f>+D13</f>
        <v>0</v>
      </c>
      <c r="E15" s="233"/>
      <c r="F15" s="234"/>
      <c r="G15" s="235"/>
      <c r="H15" s="18">
        <f>+H13</f>
        <v>0</v>
      </c>
      <c r="I15" s="233"/>
      <c r="J15" s="234"/>
      <c r="K15" s="235"/>
      <c r="L15" s="19">
        <f>+L13</f>
        <v>0</v>
      </c>
    </row>
    <row r="16" spans="1:12" ht="20.25">
      <c r="A16" s="225" t="s">
        <v>24</v>
      </c>
      <c r="B16" s="225"/>
      <c r="C16" s="225"/>
      <c r="D16" s="20">
        <f>D15*20%</f>
        <v>0</v>
      </c>
      <c r="E16" s="222"/>
      <c r="F16" s="223"/>
      <c r="G16" s="224"/>
      <c r="H16" s="20">
        <f>H15*20%</f>
        <v>0</v>
      </c>
      <c r="I16" s="222"/>
      <c r="J16" s="223"/>
      <c r="K16" s="224"/>
      <c r="L16" s="20">
        <f>L15*20%</f>
        <v>0</v>
      </c>
    </row>
    <row r="17" spans="1:12" ht="20.25">
      <c r="A17" s="225" t="s">
        <v>25</v>
      </c>
      <c r="B17" s="225"/>
      <c r="C17" s="225"/>
      <c r="D17" s="20">
        <f>D15*10%</f>
        <v>0</v>
      </c>
      <c r="E17" s="222"/>
      <c r="F17" s="223"/>
      <c r="G17" s="224"/>
      <c r="H17" s="20">
        <f>H15*10%</f>
        <v>0</v>
      </c>
      <c r="I17" s="222"/>
      <c r="J17" s="223"/>
      <c r="K17" s="224"/>
      <c r="L17" s="20">
        <f>L15*10%</f>
        <v>0</v>
      </c>
    </row>
    <row r="18" spans="1:12" ht="20.25">
      <c r="A18" s="226" t="s">
        <v>16</v>
      </c>
      <c r="B18" s="226"/>
      <c r="C18" s="226"/>
      <c r="D18" s="20">
        <f>D15*70%</f>
        <v>0</v>
      </c>
      <c r="E18" s="222"/>
      <c r="F18" s="223"/>
      <c r="G18" s="224"/>
      <c r="H18" s="20">
        <f>H15*70%</f>
        <v>0</v>
      </c>
      <c r="I18" s="222"/>
      <c r="J18" s="223"/>
      <c r="K18" s="224"/>
      <c r="L18" s="20">
        <f>L15*70%</f>
        <v>0</v>
      </c>
    </row>
    <row r="19" spans="1:12" ht="20.25">
      <c r="A19" s="208" t="s">
        <v>17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31" ht="20.25">
      <c r="I31" s="23"/>
    </row>
    <row r="32" ht="20.25">
      <c r="I32" s="23"/>
    </row>
  </sheetData>
  <sheetProtection/>
  <mergeCells count="19">
    <mergeCell ref="I17:K17"/>
    <mergeCell ref="A1:L1"/>
    <mergeCell ref="A2:L2"/>
    <mergeCell ref="A3:L3"/>
    <mergeCell ref="E15:G15"/>
    <mergeCell ref="E16:G16"/>
    <mergeCell ref="A5:D5"/>
    <mergeCell ref="E5:H5"/>
    <mergeCell ref="I5:L5"/>
    <mergeCell ref="I18:K18"/>
    <mergeCell ref="A19:L19"/>
    <mergeCell ref="A15:C15"/>
    <mergeCell ref="A16:C16"/>
    <mergeCell ref="A17:C17"/>
    <mergeCell ref="A18:C18"/>
    <mergeCell ref="E17:G17"/>
    <mergeCell ref="E18:G18"/>
    <mergeCell ref="I15:K15"/>
    <mergeCell ref="I16:K16"/>
  </mergeCells>
  <printOptions horizontalCentered="1"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22"/>
  <sheetViews>
    <sheetView view="pageBreakPreview" zoomScaleSheetLayoutView="100" zoomScalePageLayoutView="0" workbookViewId="0" topLeftCell="A1">
      <selection activeCell="E6" sqref="E6"/>
    </sheetView>
  </sheetViews>
  <sheetFormatPr defaultColWidth="7.8515625" defaultRowHeight="15"/>
  <cols>
    <col min="1" max="1" width="12.7109375" style="1" bestFit="1" customWidth="1"/>
    <col min="2" max="2" width="9.421875" style="42" bestFit="1" customWidth="1"/>
    <col min="3" max="3" width="11.421875" style="1" bestFit="1" customWidth="1"/>
    <col min="4" max="4" width="10.421875" style="1" bestFit="1" customWidth="1"/>
    <col min="5" max="5" width="12.7109375" style="1" customWidth="1"/>
    <col min="6" max="6" width="9.421875" style="42" bestFit="1" customWidth="1"/>
    <col min="7" max="7" width="11.421875" style="1" bestFit="1" customWidth="1"/>
    <col min="8" max="8" width="10.421875" style="1" bestFit="1" customWidth="1"/>
    <col min="9" max="9" width="12.7109375" style="1" customWidth="1"/>
    <col min="10" max="10" width="9.421875" style="42" bestFit="1" customWidth="1"/>
    <col min="11" max="11" width="11.421875" style="1" bestFit="1" customWidth="1"/>
    <col min="12" max="12" width="10.421875" style="1" bestFit="1" customWidth="1"/>
    <col min="13" max="16384" width="7.8515625" style="1" customWidth="1"/>
  </cols>
  <sheetData>
    <row r="1" spans="1:12" ht="20.25">
      <c r="A1" s="212" t="s">
        <v>204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20.25">
      <c r="A2" s="212" t="s">
        <v>44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20.25">
      <c r="A3" s="215" t="s">
        <v>43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20.25">
      <c r="A4" s="6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0.25">
      <c r="A5" s="238" t="s">
        <v>207</v>
      </c>
      <c r="B5" s="238"/>
      <c r="C5" s="238"/>
      <c r="D5" s="238"/>
      <c r="E5" s="238" t="s">
        <v>208</v>
      </c>
      <c r="F5" s="238"/>
      <c r="G5" s="238"/>
      <c r="H5" s="238"/>
      <c r="I5" s="237" t="s">
        <v>0</v>
      </c>
      <c r="J5" s="239"/>
      <c r="K5" s="239"/>
      <c r="L5" s="239"/>
    </row>
    <row r="6" spans="1:12" ht="20.25">
      <c r="A6" s="43" t="s">
        <v>1</v>
      </c>
      <c r="B6" s="44" t="s">
        <v>2</v>
      </c>
      <c r="C6" s="3" t="s">
        <v>3</v>
      </c>
      <c r="D6" s="24" t="s">
        <v>4</v>
      </c>
      <c r="E6" s="45" t="s">
        <v>1</v>
      </c>
      <c r="F6" s="44" t="s">
        <v>2</v>
      </c>
      <c r="G6" s="3" t="s">
        <v>3</v>
      </c>
      <c r="H6" s="24" t="s">
        <v>4</v>
      </c>
      <c r="I6" s="45" t="s">
        <v>1</v>
      </c>
      <c r="J6" s="44" t="s">
        <v>2</v>
      </c>
      <c r="K6" s="3" t="s">
        <v>3</v>
      </c>
      <c r="L6" s="24" t="s">
        <v>4</v>
      </c>
    </row>
    <row r="7" spans="1:12" ht="20.25">
      <c r="A7" s="49" t="s">
        <v>5</v>
      </c>
      <c r="B7" s="46"/>
      <c r="C7" s="47"/>
      <c r="D7" s="47"/>
      <c r="E7" s="49" t="s">
        <v>5</v>
      </c>
      <c r="F7" s="46"/>
      <c r="G7" s="47"/>
      <c r="H7" s="47"/>
      <c r="I7" s="49" t="s">
        <v>5</v>
      </c>
      <c r="J7" s="46"/>
      <c r="K7" s="47"/>
      <c r="L7" s="47"/>
    </row>
    <row r="8" spans="1:12" ht="20.25">
      <c r="A8" s="49" t="s">
        <v>6</v>
      </c>
      <c r="B8" s="46"/>
      <c r="C8" s="47"/>
      <c r="D8" s="47"/>
      <c r="E8" s="49" t="s">
        <v>6</v>
      </c>
      <c r="F8" s="46"/>
      <c r="G8" s="47"/>
      <c r="H8" s="47"/>
      <c r="I8" s="49" t="s">
        <v>6</v>
      </c>
      <c r="J8" s="46"/>
      <c r="K8" s="47"/>
      <c r="L8" s="47"/>
    </row>
    <row r="9" spans="1:12" ht="20.25">
      <c r="A9" s="63" t="s">
        <v>7</v>
      </c>
      <c r="B9" s="46"/>
      <c r="C9" s="47"/>
      <c r="D9" s="47"/>
      <c r="E9" s="63" t="s">
        <v>7</v>
      </c>
      <c r="F9" s="46"/>
      <c r="G9" s="47"/>
      <c r="H9" s="47"/>
      <c r="I9" s="63" t="s">
        <v>7</v>
      </c>
      <c r="J9" s="46"/>
      <c r="K9" s="47"/>
      <c r="L9" s="47"/>
    </row>
    <row r="10" spans="1:12" ht="20.25">
      <c r="A10" s="63" t="s">
        <v>8</v>
      </c>
      <c r="B10" s="46"/>
      <c r="C10" s="47"/>
      <c r="D10" s="47"/>
      <c r="E10" s="63" t="s">
        <v>8</v>
      </c>
      <c r="F10" s="46"/>
      <c r="G10" s="47"/>
      <c r="H10" s="47"/>
      <c r="I10" s="63" t="s">
        <v>8</v>
      </c>
      <c r="J10" s="46"/>
      <c r="K10" s="47"/>
      <c r="L10" s="47"/>
    </row>
    <row r="11" spans="1:12" ht="20.25">
      <c r="A11" s="63" t="s">
        <v>9</v>
      </c>
      <c r="B11" s="46"/>
      <c r="C11" s="47"/>
      <c r="D11" s="47"/>
      <c r="E11" s="63" t="s">
        <v>9</v>
      </c>
      <c r="F11" s="46"/>
      <c r="G11" s="47"/>
      <c r="H11" s="47"/>
      <c r="I11" s="63" t="s">
        <v>9</v>
      </c>
      <c r="J11" s="46"/>
      <c r="K11" s="47"/>
      <c r="L11" s="47"/>
    </row>
    <row r="12" spans="1:12" ht="20.25">
      <c r="A12" s="63" t="s">
        <v>10</v>
      </c>
      <c r="B12" s="46"/>
      <c r="C12" s="47"/>
      <c r="D12" s="47"/>
      <c r="E12" s="63" t="s">
        <v>10</v>
      </c>
      <c r="F12" s="46"/>
      <c r="G12" s="47"/>
      <c r="H12" s="47"/>
      <c r="I12" s="63" t="s">
        <v>10</v>
      </c>
      <c r="J12" s="46"/>
      <c r="K12" s="47"/>
      <c r="L12" s="47"/>
    </row>
    <row r="13" spans="1:12" ht="20.25">
      <c r="A13" s="63" t="s">
        <v>11</v>
      </c>
      <c r="B13" s="46"/>
      <c r="C13" s="47"/>
      <c r="D13" s="47"/>
      <c r="E13" s="63" t="s">
        <v>11</v>
      </c>
      <c r="F13" s="46"/>
      <c r="G13" s="47"/>
      <c r="H13" s="47"/>
      <c r="I13" s="63" t="s">
        <v>11</v>
      </c>
      <c r="J13" s="46"/>
      <c r="K13" s="47"/>
      <c r="L13" s="47"/>
    </row>
    <row r="14" spans="1:12" ht="20.25">
      <c r="A14" s="63" t="s">
        <v>12</v>
      </c>
      <c r="B14" s="46"/>
      <c r="C14" s="47"/>
      <c r="D14" s="47"/>
      <c r="E14" s="63" t="s">
        <v>12</v>
      </c>
      <c r="F14" s="46"/>
      <c r="G14" s="47"/>
      <c r="H14" s="47"/>
      <c r="I14" s="63" t="s">
        <v>12</v>
      </c>
      <c r="J14" s="46"/>
      <c r="K14" s="47"/>
      <c r="L14" s="47"/>
    </row>
    <row r="15" spans="1:12" ht="20.25">
      <c r="A15" s="92" t="s">
        <v>13</v>
      </c>
      <c r="B15" s="92"/>
      <c r="C15" s="93"/>
      <c r="D15" s="93"/>
      <c r="E15" s="92" t="s">
        <v>13</v>
      </c>
      <c r="F15" s="92"/>
      <c r="G15" s="93"/>
      <c r="H15" s="93"/>
      <c r="I15" s="92" t="s">
        <v>13</v>
      </c>
      <c r="J15" s="94"/>
      <c r="K15" s="95"/>
      <c r="L15" s="95"/>
    </row>
    <row r="16" spans="1:12" s="50" customFormat="1" ht="20.25">
      <c r="A16" s="96"/>
      <c r="B16" s="97"/>
      <c r="C16" s="98"/>
      <c r="D16" s="98"/>
      <c r="E16" s="96"/>
      <c r="F16" s="97"/>
      <c r="G16" s="98"/>
      <c r="H16" s="98"/>
      <c r="I16" s="96"/>
      <c r="J16" s="97"/>
      <c r="K16" s="98"/>
      <c r="L16" s="98"/>
    </row>
    <row r="17" spans="1:12" ht="20.25">
      <c r="A17" s="240" t="s">
        <v>34</v>
      </c>
      <c r="B17" s="240"/>
      <c r="C17" s="240"/>
      <c r="D17" s="78">
        <f>+D15</f>
        <v>0</v>
      </c>
      <c r="E17" s="230"/>
      <c r="F17" s="231"/>
      <c r="G17" s="232"/>
      <c r="H17" s="78">
        <f>+H15</f>
        <v>0</v>
      </c>
      <c r="I17" s="230"/>
      <c r="J17" s="231"/>
      <c r="K17" s="232"/>
      <c r="L17" s="79">
        <f>+L15</f>
        <v>0</v>
      </c>
    </row>
    <row r="18" spans="1:12" ht="20.25">
      <c r="A18" s="225" t="s">
        <v>24</v>
      </c>
      <c r="B18" s="225"/>
      <c r="C18" s="225"/>
      <c r="D18" s="20">
        <f>D17*20%</f>
        <v>0</v>
      </c>
      <c r="E18" s="222"/>
      <c r="F18" s="223"/>
      <c r="G18" s="224"/>
      <c r="H18" s="20">
        <f>H17*20%</f>
        <v>0</v>
      </c>
      <c r="I18" s="222"/>
      <c r="J18" s="223"/>
      <c r="K18" s="224"/>
      <c r="L18" s="20">
        <f>L17*20%</f>
        <v>0</v>
      </c>
    </row>
    <row r="19" spans="1:12" ht="20.25">
      <c r="A19" s="225" t="s">
        <v>25</v>
      </c>
      <c r="B19" s="225"/>
      <c r="C19" s="225"/>
      <c r="D19" s="20">
        <f>D17*10%</f>
        <v>0</v>
      </c>
      <c r="E19" s="222"/>
      <c r="F19" s="223"/>
      <c r="G19" s="224"/>
      <c r="H19" s="20">
        <f>H17*10%</f>
        <v>0</v>
      </c>
      <c r="I19" s="222"/>
      <c r="J19" s="223"/>
      <c r="K19" s="224"/>
      <c r="L19" s="20">
        <f>L17*10%</f>
        <v>0</v>
      </c>
    </row>
    <row r="20" spans="1:12" ht="20.25">
      <c r="A20" s="226" t="s">
        <v>16</v>
      </c>
      <c r="B20" s="226"/>
      <c r="C20" s="226"/>
      <c r="D20" s="20">
        <f>D17*70%</f>
        <v>0</v>
      </c>
      <c r="E20" s="222"/>
      <c r="F20" s="223"/>
      <c r="G20" s="224"/>
      <c r="H20" s="20">
        <f>H17*70%</f>
        <v>0</v>
      </c>
      <c r="I20" s="222"/>
      <c r="J20" s="223"/>
      <c r="K20" s="224"/>
      <c r="L20" s="20">
        <f>L17*70%</f>
        <v>0</v>
      </c>
    </row>
    <row r="21" spans="1:12" ht="20.25">
      <c r="A21" s="208" t="s">
        <v>17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</row>
    <row r="22" ht="20.25">
      <c r="K22" s="48"/>
    </row>
  </sheetData>
  <sheetProtection/>
  <mergeCells count="19">
    <mergeCell ref="A21:L21"/>
    <mergeCell ref="A1:L1"/>
    <mergeCell ref="E17:G17"/>
    <mergeCell ref="I17:K17"/>
    <mergeCell ref="E18:G18"/>
    <mergeCell ref="I18:K18"/>
    <mergeCell ref="E19:G19"/>
    <mergeCell ref="I19:K19"/>
    <mergeCell ref="E20:G20"/>
    <mergeCell ref="I20:K20"/>
    <mergeCell ref="A18:C18"/>
    <mergeCell ref="A19:C19"/>
    <mergeCell ref="A20:C20"/>
    <mergeCell ref="A2:L2"/>
    <mergeCell ref="A3:L3"/>
    <mergeCell ref="A5:D5"/>
    <mergeCell ref="E5:H5"/>
    <mergeCell ref="I5:L5"/>
    <mergeCell ref="A17:C17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76"/>
  <sheetViews>
    <sheetView view="pageBreakPreview" zoomScaleNormal="120" zoomScaleSheetLayoutView="100" zoomScalePageLayoutView="0" workbookViewId="0" topLeftCell="A1">
      <selection activeCell="I59" sqref="I59"/>
    </sheetView>
  </sheetViews>
  <sheetFormatPr defaultColWidth="9.00390625" defaultRowHeight="15"/>
  <cols>
    <col min="1" max="1" width="17.421875" style="64" bestFit="1" customWidth="1"/>
    <col min="2" max="2" width="9.8515625" style="64" bestFit="1" customWidth="1"/>
    <col min="3" max="3" width="11.00390625" style="64" bestFit="1" customWidth="1"/>
    <col min="4" max="4" width="4.8515625" style="64" bestFit="1" customWidth="1"/>
    <col min="5" max="5" width="9.8515625" style="64" bestFit="1" customWidth="1"/>
    <col min="6" max="6" width="11.00390625" style="64" bestFit="1" customWidth="1"/>
    <col min="7" max="7" width="4.8515625" style="64" bestFit="1" customWidth="1"/>
    <col min="8" max="8" width="9.8515625" style="64" bestFit="1" customWidth="1"/>
    <col min="9" max="9" width="11.00390625" style="64" bestFit="1" customWidth="1"/>
    <col min="10" max="10" width="4.8515625" style="64" bestFit="1" customWidth="1"/>
    <col min="11" max="11" width="9.8515625" style="64" bestFit="1" customWidth="1"/>
    <col min="12" max="12" width="12.421875" style="64" bestFit="1" customWidth="1"/>
    <col min="13" max="13" width="4.8515625" style="64" bestFit="1" customWidth="1"/>
    <col min="14" max="14" width="9.00390625" style="64" bestFit="1" customWidth="1"/>
    <col min="15" max="16384" width="9.00390625" style="64" customWidth="1"/>
  </cols>
  <sheetData>
    <row r="1" spans="1:12" s="1" customFormat="1" ht="20.25">
      <c r="A1" s="212" t="s">
        <v>204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" customFormat="1" ht="20.25">
      <c r="A2" s="212" t="s">
        <v>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1" customFormat="1" ht="20.25">
      <c r="A3" s="215" t="s">
        <v>43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5" spans="1:13" ht="20.25">
      <c r="A5" s="256" t="s">
        <v>36</v>
      </c>
      <c r="B5" s="257" t="s">
        <v>212</v>
      </c>
      <c r="C5" s="258"/>
      <c r="D5" s="259"/>
      <c r="E5" s="257" t="s">
        <v>211</v>
      </c>
      <c r="F5" s="258"/>
      <c r="G5" s="259"/>
      <c r="H5" s="257" t="s">
        <v>210</v>
      </c>
      <c r="I5" s="258"/>
      <c r="J5" s="259"/>
      <c r="K5" s="257" t="s">
        <v>37</v>
      </c>
      <c r="L5" s="258"/>
      <c r="M5" s="259"/>
    </row>
    <row r="6" spans="1:13" ht="20.25">
      <c r="A6" s="256"/>
      <c r="B6" s="73" t="s">
        <v>2</v>
      </c>
      <c r="C6" s="73" t="s">
        <v>38</v>
      </c>
      <c r="D6" s="73" t="s">
        <v>13</v>
      </c>
      <c r="E6" s="73" t="s">
        <v>2</v>
      </c>
      <c r="F6" s="73" t="s">
        <v>38</v>
      </c>
      <c r="G6" s="73" t="s">
        <v>13</v>
      </c>
      <c r="H6" s="73" t="s">
        <v>2</v>
      </c>
      <c r="I6" s="73" t="s">
        <v>38</v>
      </c>
      <c r="J6" s="73" t="s">
        <v>13</v>
      </c>
      <c r="K6" s="73" t="s">
        <v>2</v>
      </c>
      <c r="L6" s="73" t="s">
        <v>38</v>
      </c>
      <c r="M6" s="73" t="s">
        <v>13</v>
      </c>
    </row>
    <row r="7" spans="1:13" ht="20.25">
      <c r="A7" s="260" t="s">
        <v>40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2"/>
    </row>
    <row r="8" spans="1:13" ht="20.25">
      <c r="A8" s="70" t="s">
        <v>216</v>
      </c>
      <c r="B8" s="65"/>
      <c r="C8" s="66"/>
      <c r="D8" s="66"/>
      <c r="E8" s="65"/>
      <c r="F8" s="67"/>
      <c r="G8" s="66"/>
      <c r="H8" s="65"/>
      <c r="I8" s="67"/>
      <c r="J8" s="66"/>
      <c r="K8" s="66">
        <f aca="true" t="shared" si="0" ref="K8:M10">+B8+E8+H8</f>
        <v>0</v>
      </c>
      <c r="L8" s="66">
        <f t="shared" si="0"/>
        <v>0</v>
      </c>
      <c r="M8" s="66">
        <f t="shared" si="0"/>
        <v>0</v>
      </c>
    </row>
    <row r="9" spans="1:13" ht="20.25">
      <c r="A9" s="70" t="s">
        <v>215</v>
      </c>
      <c r="B9" s="67"/>
      <c r="C9" s="67"/>
      <c r="D9" s="67"/>
      <c r="E9" s="67"/>
      <c r="F9" s="67"/>
      <c r="G9" s="66"/>
      <c r="H9" s="67"/>
      <c r="I9" s="66"/>
      <c r="J9" s="66"/>
      <c r="K9" s="66">
        <f t="shared" si="0"/>
        <v>0</v>
      </c>
      <c r="L9" s="66">
        <f t="shared" si="0"/>
        <v>0</v>
      </c>
      <c r="M9" s="66">
        <f t="shared" si="0"/>
        <v>0</v>
      </c>
    </row>
    <row r="10" spans="1:13" ht="20.25">
      <c r="A10" s="70" t="s">
        <v>214</v>
      </c>
      <c r="B10" s="67"/>
      <c r="C10" s="67"/>
      <c r="D10" s="66"/>
      <c r="E10" s="67"/>
      <c r="F10" s="66"/>
      <c r="G10" s="66"/>
      <c r="H10" s="67"/>
      <c r="I10" s="67"/>
      <c r="J10" s="66"/>
      <c r="K10" s="66">
        <f t="shared" si="0"/>
        <v>0</v>
      </c>
      <c r="L10" s="66">
        <f t="shared" si="0"/>
        <v>0</v>
      </c>
      <c r="M10" s="66">
        <f t="shared" si="0"/>
        <v>0</v>
      </c>
    </row>
    <row r="11" spans="1:13" ht="20.25">
      <c r="A11" s="70" t="s">
        <v>213</v>
      </c>
      <c r="B11" s="67"/>
      <c r="C11" s="67"/>
      <c r="D11" s="66"/>
      <c r="E11" s="67"/>
      <c r="F11" s="66"/>
      <c r="G11" s="66"/>
      <c r="H11" s="67"/>
      <c r="I11" s="67"/>
      <c r="J11" s="66"/>
      <c r="K11" s="66">
        <f>+B11+E11+H11</f>
        <v>0</v>
      </c>
      <c r="L11" s="66">
        <f>+C11+F11+I11</f>
        <v>0</v>
      </c>
      <c r="M11" s="66">
        <f>+D11+G11+J11</f>
        <v>0</v>
      </c>
    </row>
    <row r="12" spans="1:13" ht="20.25">
      <c r="A12" s="71" t="s">
        <v>39</v>
      </c>
      <c r="B12" s="72">
        <f>SUM(B8:B10)</f>
        <v>0</v>
      </c>
      <c r="C12" s="72">
        <f aca="true" t="shared" si="1" ref="C12:M12">SUM(C8:C10)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  <c r="H12" s="72">
        <f t="shared" si="1"/>
        <v>0</v>
      </c>
      <c r="I12" s="72">
        <f t="shared" si="1"/>
        <v>0</v>
      </c>
      <c r="J12" s="72">
        <f t="shared" si="1"/>
        <v>0</v>
      </c>
      <c r="K12" s="72">
        <f t="shared" si="1"/>
        <v>0</v>
      </c>
      <c r="L12" s="72">
        <f t="shared" si="1"/>
        <v>0</v>
      </c>
      <c r="M12" s="72">
        <f t="shared" si="1"/>
        <v>0</v>
      </c>
    </row>
    <row r="13" spans="1:13" ht="20.25">
      <c r="A13" s="263" t="s">
        <v>41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ht="20.25">
      <c r="A14" s="70" t="s">
        <v>216</v>
      </c>
      <c r="B14" s="65"/>
      <c r="C14" s="66"/>
      <c r="D14" s="66"/>
      <c r="E14" s="65"/>
      <c r="F14" s="67"/>
      <c r="G14" s="66"/>
      <c r="H14" s="65"/>
      <c r="I14" s="67"/>
      <c r="J14" s="66"/>
      <c r="K14" s="66">
        <f aca="true" t="shared" si="2" ref="K14:M17">+B14+E14+H14</f>
        <v>0</v>
      </c>
      <c r="L14" s="66">
        <f t="shared" si="2"/>
        <v>0</v>
      </c>
      <c r="M14" s="66">
        <f t="shared" si="2"/>
        <v>0</v>
      </c>
    </row>
    <row r="15" spans="1:13" ht="20.25">
      <c r="A15" s="70" t="s">
        <v>215</v>
      </c>
      <c r="B15" s="67"/>
      <c r="C15" s="67"/>
      <c r="D15" s="67"/>
      <c r="E15" s="67"/>
      <c r="F15" s="67"/>
      <c r="G15" s="66"/>
      <c r="H15" s="67"/>
      <c r="I15" s="66"/>
      <c r="J15" s="66"/>
      <c r="K15" s="66">
        <f t="shared" si="2"/>
        <v>0</v>
      </c>
      <c r="L15" s="66">
        <f t="shared" si="2"/>
        <v>0</v>
      </c>
      <c r="M15" s="66">
        <f t="shared" si="2"/>
        <v>0</v>
      </c>
    </row>
    <row r="16" spans="1:13" ht="20.25">
      <c r="A16" s="70" t="s">
        <v>214</v>
      </c>
      <c r="B16" s="67"/>
      <c r="C16" s="67"/>
      <c r="D16" s="66"/>
      <c r="E16" s="67"/>
      <c r="F16" s="66"/>
      <c r="G16" s="66"/>
      <c r="H16" s="67"/>
      <c r="I16" s="67"/>
      <c r="J16" s="66"/>
      <c r="K16" s="66">
        <f t="shared" si="2"/>
        <v>0</v>
      </c>
      <c r="L16" s="66">
        <f t="shared" si="2"/>
        <v>0</v>
      </c>
      <c r="M16" s="66">
        <f t="shared" si="2"/>
        <v>0</v>
      </c>
    </row>
    <row r="17" spans="1:13" ht="20.25">
      <c r="A17" s="70" t="s">
        <v>213</v>
      </c>
      <c r="B17" s="67"/>
      <c r="C17" s="67"/>
      <c r="D17" s="66"/>
      <c r="E17" s="67"/>
      <c r="F17" s="66"/>
      <c r="G17" s="66"/>
      <c r="H17" s="67"/>
      <c r="I17" s="67"/>
      <c r="J17" s="66"/>
      <c r="K17" s="66">
        <f t="shared" si="2"/>
        <v>0</v>
      </c>
      <c r="L17" s="66">
        <f t="shared" si="2"/>
        <v>0</v>
      </c>
      <c r="M17" s="66">
        <f t="shared" si="2"/>
        <v>0</v>
      </c>
    </row>
    <row r="18" spans="1:13" ht="20.25">
      <c r="A18" s="71" t="s">
        <v>39</v>
      </c>
      <c r="B18" s="72">
        <f aca="true" t="shared" si="3" ref="B18:M18">SUM(B14:B16)</f>
        <v>0</v>
      </c>
      <c r="C18" s="72">
        <f t="shared" si="3"/>
        <v>0</v>
      </c>
      <c r="D18" s="72">
        <f t="shared" si="3"/>
        <v>0</v>
      </c>
      <c r="E18" s="72">
        <f t="shared" si="3"/>
        <v>0</v>
      </c>
      <c r="F18" s="72">
        <f t="shared" si="3"/>
        <v>0</v>
      </c>
      <c r="G18" s="72">
        <f t="shared" si="3"/>
        <v>0</v>
      </c>
      <c r="H18" s="72">
        <f t="shared" si="3"/>
        <v>0</v>
      </c>
      <c r="I18" s="72">
        <f t="shared" si="3"/>
        <v>0</v>
      </c>
      <c r="J18" s="72">
        <f t="shared" si="3"/>
        <v>0</v>
      </c>
      <c r="K18" s="72">
        <f t="shared" si="3"/>
        <v>0</v>
      </c>
      <c r="L18" s="72">
        <f t="shared" si="3"/>
        <v>0</v>
      </c>
      <c r="M18" s="72">
        <f t="shared" si="3"/>
        <v>0</v>
      </c>
    </row>
    <row r="19" spans="1:13" ht="20.25">
      <c r="A19" s="244" t="s">
        <v>48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6"/>
    </row>
    <row r="20" spans="1:13" ht="20.25">
      <c r="A20" s="70" t="s">
        <v>216</v>
      </c>
      <c r="B20" s="65"/>
      <c r="C20" s="66"/>
      <c r="D20" s="66"/>
      <c r="E20" s="65"/>
      <c r="F20" s="67"/>
      <c r="G20" s="66"/>
      <c r="H20" s="65"/>
      <c r="I20" s="67"/>
      <c r="J20" s="66"/>
      <c r="K20" s="66">
        <f aca="true" t="shared" si="4" ref="K20:M23">+B20+E20+H20</f>
        <v>0</v>
      </c>
      <c r="L20" s="66">
        <f t="shared" si="4"/>
        <v>0</v>
      </c>
      <c r="M20" s="66">
        <f t="shared" si="4"/>
        <v>0</v>
      </c>
    </row>
    <row r="21" spans="1:13" ht="20.25">
      <c r="A21" s="70" t="s">
        <v>215</v>
      </c>
      <c r="B21" s="67"/>
      <c r="C21" s="67"/>
      <c r="D21" s="67"/>
      <c r="E21" s="67"/>
      <c r="F21" s="67"/>
      <c r="G21" s="66"/>
      <c r="H21" s="67"/>
      <c r="I21" s="66"/>
      <c r="J21" s="66"/>
      <c r="K21" s="66">
        <f t="shared" si="4"/>
        <v>0</v>
      </c>
      <c r="L21" s="66">
        <f t="shared" si="4"/>
        <v>0</v>
      </c>
      <c r="M21" s="66">
        <f t="shared" si="4"/>
        <v>0</v>
      </c>
    </row>
    <row r="22" spans="1:13" ht="20.25">
      <c r="A22" s="70" t="s">
        <v>214</v>
      </c>
      <c r="B22" s="67"/>
      <c r="C22" s="67"/>
      <c r="D22" s="66"/>
      <c r="E22" s="67"/>
      <c r="F22" s="66"/>
      <c r="G22" s="66"/>
      <c r="H22" s="67"/>
      <c r="I22" s="67"/>
      <c r="J22" s="66"/>
      <c r="K22" s="66">
        <f t="shared" si="4"/>
        <v>0</v>
      </c>
      <c r="L22" s="66">
        <f t="shared" si="4"/>
        <v>0</v>
      </c>
      <c r="M22" s="66">
        <f t="shared" si="4"/>
        <v>0</v>
      </c>
    </row>
    <row r="23" spans="1:13" ht="20.25">
      <c r="A23" s="70" t="s">
        <v>213</v>
      </c>
      <c r="B23" s="67"/>
      <c r="C23" s="67"/>
      <c r="D23" s="66"/>
      <c r="E23" s="67"/>
      <c r="F23" s="66"/>
      <c r="G23" s="66"/>
      <c r="H23" s="67"/>
      <c r="I23" s="67"/>
      <c r="J23" s="66"/>
      <c r="K23" s="66">
        <f t="shared" si="4"/>
        <v>0</v>
      </c>
      <c r="L23" s="66">
        <f t="shared" si="4"/>
        <v>0</v>
      </c>
      <c r="M23" s="66">
        <f t="shared" si="4"/>
        <v>0</v>
      </c>
    </row>
    <row r="24" spans="1:13" ht="20.25">
      <c r="A24" s="71" t="s">
        <v>39</v>
      </c>
      <c r="B24" s="72">
        <f aca="true" t="shared" si="5" ref="B24:M24">SUM(B20:B22)</f>
        <v>0</v>
      </c>
      <c r="C24" s="72">
        <f t="shared" si="5"/>
        <v>0</v>
      </c>
      <c r="D24" s="72">
        <f t="shared" si="5"/>
        <v>0</v>
      </c>
      <c r="E24" s="72">
        <f t="shared" si="5"/>
        <v>0</v>
      </c>
      <c r="F24" s="72">
        <f t="shared" si="5"/>
        <v>0</v>
      </c>
      <c r="G24" s="72">
        <f t="shared" si="5"/>
        <v>0</v>
      </c>
      <c r="H24" s="72">
        <f t="shared" si="5"/>
        <v>0</v>
      </c>
      <c r="I24" s="72">
        <f t="shared" si="5"/>
        <v>0</v>
      </c>
      <c r="J24" s="72">
        <f t="shared" si="5"/>
        <v>0</v>
      </c>
      <c r="K24" s="72">
        <f t="shared" si="5"/>
        <v>0</v>
      </c>
      <c r="L24" s="72">
        <f t="shared" si="5"/>
        <v>0</v>
      </c>
      <c r="M24" s="72">
        <f t="shared" si="5"/>
        <v>0</v>
      </c>
    </row>
    <row r="25" spans="1:13" ht="20.25">
      <c r="A25" s="244" t="s">
        <v>49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</row>
    <row r="26" spans="1:13" ht="20.25">
      <c r="A26" s="70" t="s">
        <v>216</v>
      </c>
      <c r="B26" s="65"/>
      <c r="C26" s="66"/>
      <c r="D26" s="66"/>
      <c r="E26" s="65"/>
      <c r="F26" s="67"/>
      <c r="G26" s="66"/>
      <c r="H26" s="65"/>
      <c r="I26" s="67"/>
      <c r="J26" s="66"/>
      <c r="K26" s="66">
        <f aca="true" t="shared" si="6" ref="K26:M29">+B26+E26+H26</f>
        <v>0</v>
      </c>
      <c r="L26" s="66">
        <f t="shared" si="6"/>
        <v>0</v>
      </c>
      <c r="M26" s="66">
        <f t="shared" si="6"/>
        <v>0</v>
      </c>
    </row>
    <row r="27" spans="1:13" ht="20.25">
      <c r="A27" s="70" t="s">
        <v>215</v>
      </c>
      <c r="B27" s="67"/>
      <c r="C27" s="67"/>
      <c r="D27" s="67"/>
      <c r="E27" s="67"/>
      <c r="F27" s="67"/>
      <c r="G27" s="66"/>
      <c r="H27" s="67"/>
      <c r="I27" s="66"/>
      <c r="J27" s="66"/>
      <c r="K27" s="66">
        <f t="shared" si="6"/>
        <v>0</v>
      </c>
      <c r="L27" s="66">
        <f t="shared" si="6"/>
        <v>0</v>
      </c>
      <c r="M27" s="66">
        <f t="shared" si="6"/>
        <v>0</v>
      </c>
    </row>
    <row r="28" spans="1:13" ht="20.25">
      <c r="A28" s="70" t="s">
        <v>214</v>
      </c>
      <c r="B28" s="67"/>
      <c r="C28" s="67"/>
      <c r="D28" s="66"/>
      <c r="E28" s="67"/>
      <c r="F28" s="66"/>
      <c r="G28" s="66"/>
      <c r="H28" s="67"/>
      <c r="I28" s="67"/>
      <c r="J28" s="66"/>
      <c r="K28" s="66">
        <f t="shared" si="6"/>
        <v>0</v>
      </c>
      <c r="L28" s="66">
        <f t="shared" si="6"/>
        <v>0</v>
      </c>
      <c r="M28" s="66">
        <f t="shared" si="6"/>
        <v>0</v>
      </c>
    </row>
    <row r="29" spans="1:13" ht="20.25">
      <c r="A29" s="70" t="s">
        <v>213</v>
      </c>
      <c r="B29" s="67"/>
      <c r="C29" s="67"/>
      <c r="D29" s="66"/>
      <c r="E29" s="67"/>
      <c r="F29" s="66"/>
      <c r="G29" s="66"/>
      <c r="H29" s="67"/>
      <c r="I29" s="67"/>
      <c r="J29" s="66"/>
      <c r="K29" s="66">
        <f t="shared" si="6"/>
        <v>0</v>
      </c>
      <c r="L29" s="66">
        <f t="shared" si="6"/>
        <v>0</v>
      </c>
      <c r="M29" s="66">
        <f t="shared" si="6"/>
        <v>0</v>
      </c>
    </row>
    <row r="30" spans="1:13" ht="20.25">
      <c r="A30" s="71" t="s">
        <v>39</v>
      </c>
      <c r="B30" s="72">
        <f aca="true" t="shared" si="7" ref="B30:M30">SUM(B26:B28)</f>
        <v>0</v>
      </c>
      <c r="C30" s="72">
        <f t="shared" si="7"/>
        <v>0</v>
      </c>
      <c r="D30" s="72">
        <f t="shared" si="7"/>
        <v>0</v>
      </c>
      <c r="E30" s="72">
        <f t="shared" si="7"/>
        <v>0</v>
      </c>
      <c r="F30" s="72">
        <f t="shared" si="7"/>
        <v>0</v>
      </c>
      <c r="G30" s="72">
        <f t="shared" si="7"/>
        <v>0</v>
      </c>
      <c r="H30" s="72">
        <f t="shared" si="7"/>
        <v>0</v>
      </c>
      <c r="I30" s="72">
        <f t="shared" si="7"/>
        <v>0</v>
      </c>
      <c r="J30" s="72">
        <f t="shared" si="7"/>
        <v>0</v>
      </c>
      <c r="K30" s="72">
        <f t="shared" si="7"/>
        <v>0</v>
      </c>
      <c r="L30" s="72">
        <f t="shared" si="7"/>
        <v>0</v>
      </c>
      <c r="M30" s="72">
        <f t="shared" si="7"/>
        <v>0</v>
      </c>
    </row>
    <row r="31" spans="1:13" ht="20.25">
      <c r="A31" s="244" t="s">
        <v>42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6"/>
    </row>
    <row r="32" spans="1:13" ht="20.25">
      <c r="A32" s="70" t="s">
        <v>216</v>
      </c>
      <c r="B32" s="65"/>
      <c r="C32" s="66"/>
      <c r="D32" s="66"/>
      <c r="E32" s="65"/>
      <c r="F32" s="67"/>
      <c r="G32" s="66"/>
      <c r="H32" s="65"/>
      <c r="I32" s="67"/>
      <c r="J32" s="66"/>
      <c r="K32" s="66">
        <f aca="true" t="shared" si="8" ref="K32:M35">+B32+E32+H32</f>
        <v>0</v>
      </c>
      <c r="L32" s="66">
        <f t="shared" si="8"/>
        <v>0</v>
      </c>
      <c r="M32" s="66">
        <f t="shared" si="8"/>
        <v>0</v>
      </c>
    </row>
    <row r="33" spans="1:13" ht="20.25">
      <c r="A33" s="70" t="s">
        <v>215</v>
      </c>
      <c r="B33" s="67"/>
      <c r="C33" s="67"/>
      <c r="D33" s="67"/>
      <c r="E33" s="67"/>
      <c r="F33" s="67"/>
      <c r="G33" s="66"/>
      <c r="H33" s="67"/>
      <c r="I33" s="66"/>
      <c r="J33" s="66"/>
      <c r="K33" s="66">
        <f t="shared" si="8"/>
        <v>0</v>
      </c>
      <c r="L33" s="66">
        <f t="shared" si="8"/>
        <v>0</v>
      </c>
      <c r="M33" s="66">
        <f t="shared" si="8"/>
        <v>0</v>
      </c>
    </row>
    <row r="34" spans="1:13" ht="20.25">
      <c r="A34" s="70" t="s">
        <v>214</v>
      </c>
      <c r="B34" s="67"/>
      <c r="C34" s="67"/>
      <c r="D34" s="66"/>
      <c r="E34" s="67"/>
      <c r="F34" s="66"/>
      <c r="G34" s="66"/>
      <c r="H34" s="67"/>
      <c r="I34" s="67"/>
      <c r="J34" s="66"/>
      <c r="K34" s="66">
        <f t="shared" si="8"/>
        <v>0</v>
      </c>
      <c r="L34" s="66">
        <f t="shared" si="8"/>
        <v>0</v>
      </c>
      <c r="M34" s="66">
        <f t="shared" si="8"/>
        <v>0</v>
      </c>
    </row>
    <row r="35" spans="1:13" ht="20.25">
      <c r="A35" s="70" t="s">
        <v>213</v>
      </c>
      <c r="B35" s="67"/>
      <c r="C35" s="67"/>
      <c r="D35" s="66"/>
      <c r="E35" s="67"/>
      <c r="F35" s="66"/>
      <c r="G35" s="66"/>
      <c r="H35" s="67"/>
      <c r="I35" s="67"/>
      <c r="J35" s="66"/>
      <c r="K35" s="66">
        <f t="shared" si="8"/>
        <v>0</v>
      </c>
      <c r="L35" s="66">
        <f t="shared" si="8"/>
        <v>0</v>
      </c>
      <c r="M35" s="66">
        <f t="shared" si="8"/>
        <v>0</v>
      </c>
    </row>
    <row r="36" spans="1:13" ht="20.25">
      <c r="A36" s="71" t="s">
        <v>39</v>
      </c>
      <c r="B36" s="72">
        <f aca="true" t="shared" si="9" ref="B36:M36">SUM(B32:B34)</f>
        <v>0</v>
      </c>
      <c r="C36" s="72">
        <f t="shared" si="9"/>
        <v>0</v>
      </c>
      <c r="D36" s="72">
        <f t="shared" si="9"/>
        <v>0</v>
      </c>
      <c r="E36" s="72">
        <f t="shared" si="9"/>
        <v>0</v>
      </c>
      <c r="F36" s="72">
        <f t="shared" si="9"/>
        <v>0</v>
      </c>
      <c r="G36" s="72">
        <f t="shared" si="9"/>
        <v>0</v>
      </c>
      <c r="H36" s="72">
        <f t="shared" si="9"/>
        <v>0</v>
      </c>
      <c r="I36" s="72">
        <f t="shared" si="9"/>
        <v>0</v>
      </c>
      <c r="J36" s="72">
        <f t="shared" si="9"/>
        <v>0</v>
      </c>
      <c r="K36" s="72">
        <f t="shared" si="9"/>
        <v>0</v>
      </c>
      <c r="L36" s="72">
        <f t="shared" si="9"/>
        <v>0</v>
      </c>
      <c r="M36" s="72">
        <f t="shared" si="9"/>
        <v>0</v>
      </c>
    </row>
    <row r="37" spans="1:13" ht="20.25">
      <c r="A37" s="249" t="s">
        <v>51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1"/>
    </row>
    <row r="38" spans="1:13" ht="20.25">
      <c r="A38" s="70" t="s">
        <v>216</v>
      </c>
      <c r="B38" s="66">
        <f aca="true" t="shared" si="10" ref="B38:M38">+B8+B14+B20+B26+B32</f>
        <v>0</v>
      </c>
      <c r="C38" s="66">
        <f t="shared" si="10"/>
        <v>0</v>
      </c>
      <c r="D38" s="66">
        <f t="shared" si="10"/>
        <v>0</v>
      </c>
      <c r="E38" s="66">
        <f t="shared" si="10"/>
        <v>0</v>
      </c>
      <c r="F38" s="66">
        <f t="shared" si="10"/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0</v>
      </c>
      <c r="M38" s="66">
        <f t="shared" si="10"/>
        <v>0</v>
      </c>
    </row>
    <row r="39" spans="1:13" ht="20.25">
      <c r="A39" s="70" t="s">
        <v>215</v>
      </c>
      <c r="B39" s="66">
        <f aca="true" t="shared" si="11" ref="B39:M39">+B9+B15+B21+B27+B33</f>
        <v>0</v>
      </c>
      <c r="C39" s="66">
        <f t="shared" si="11"/>
        <v>0</v>
      </c>
      <c r="D39" s="66">
        <f t="shared" si="11"/>
        <v>0</v>
      </c>
      <c r="E39" s="66">
        <f t="shared" si="11"/>
        <v>0</v>
      </c>
      <c r="F39" s="66">
        <f t="shared" si="11"/>
        <v>0</v>
      </c>
      <c r="G39" s="66">
        <f t="shared" si="11"/>
        <v>0</v>
      </c>
      <c r="H39" s="66">
        <f t="shared" si="11"/>
        <v>0</v>
      </c>
      <c r="I39" s="66">
        <f t="shared" si="11"/>
        <v>0</v>
      </c>
      <c r="J39" s="66">
        <f t="shared" si="11"/>
        <v>0</v>
      </c>
      <c r="K39" s="66">
        <f t="shared" si="11"/>
        <v>0</v>
      </c>
      <c r="L39" s="66">
        <f t="shared" si="11"/>
        <v>0</v>
      </c>
      <c r="M39" s="66">
        <f t="shared" si="11"/>
        <v>0</v>
      </c>
    </row>
    <row r="40" spans="1:13" ht="20.25">
      <c r="A40" s="70" t="s">
        <v>214</v>
      </c>
      <c r="B40" s="66">
        <f aca="true" t="shared" si="12" ref="B40:M40">+B10+B16+B22+B28+B34</f>
        <v>0</v>
      </c>
      <c r="C40" s="66">
        <f t="shared" si="12"/>
        <v>0</v>
      </c>
      <c r="D40" s="66">
        <f t="shared" si="12"/>
        <v>0</v>
      </c>
      <c r="E40" s="66">
        <f t="shared" si="12"/>
        <v>0</v>
      </c>
      <c r="F40" s="66">
        <f t="shared" si="12"/>
        <v>0</v>
      </c>
      <c r="G40" s="66">
        <f t="shared" si="12"/>
        <v>0</v>
      </c>
      <c r="H40" s="66">
        <f t="shared" si="12"/>
        <v>0</v>
      </c>
      <c r="I40" s="66">
        <f t="shared" si="12"/>
        <v>0</v>
      </c>
      <c r="J40" s="66">
        <f t="shared" si="12"/>
        <v>0</v>
      </c>
      <c r="K40" s="66">
        <f t="shared" si="12"/>
        <v>0</v>
      </c>
      <c r="L40" s="66">
        <f t="shared" si="12"/>
        <v>0</v>
      </c>
      <c r="M40" s="66">
        <f t="shared" si="12"/>
        <v>0</v>
      </c>
    </row>
    <row r="41" spans="1:13" ht="20.25">
      <c r="A41" s="70" t="s">
        <v>213</v>
      </c>
      <c r="B41" s="67"/>
      <c r="C41" s="67"/>
      <c r="D41" s="66"/>
      <c r="E41" s="67"/>
      <c r="F41" s="66"/>
      <c r="G41" s="66"/>
      <c r="H41" s="67"/>
      <c r="I41" s="67"/>
      <c r="J41" s="66"/>
      <c r="K41" s="66">
        <f>+B41+E41+H41</f>
        <v>0</v>
      </c>
      <c r="L41" s="66">
        <f>+C41+F41+I41</f>
        <v>0</v>
      </c>
      <c r="M41" s="66">
        <f>+D41+G41+J41</f>
        <v>0</v>
      </c>
    </row>
    <row r="42" spans="1:13" ht="20.25">
      <c r="A42" s="76" t="s">
        <v>39</v>
      </c>
      <c r="B42" s="77">
        <f aca="true" t="shared" si="13" ref="B42:M42">SUM(B38:B40)</f>
        <v>0</v>
      </c>
      <c r="C42" s="77">
        <f t="shared" si="13"/>
        <v>0</v>
      </c>
      <c r="D42" s="77">
        <f t="shared" si="13"/>
        <v>0</v>
      </c>
      <c r="E42" s="77">
        <f t="shared" si="13"/>
        <v>0</v>
      </c>
      <c r="F42" s="77">
        <f t="shared" si="13"/>
        <v>0</v>
      </c>
      <c r="G42" s="77">
        <f t="shared" si="13"/>
        <v>0</v>
      </c>
      <c r="H42" s="77">
        <f t="shared" si="13"/>
        <v>0</v>
      </c>
      <c r="I42" s="77">
        <f t="shared" si="13"/>
        <v>0</v>
      </c>
      <c r="J42" s="77">
        <f t="shared" si="13"/>
        <v>0</v>
      </c>
      <c r="K42" s="77">
        <f t="shared" si="13"/>
        <v>0</v>
      </c>
      <c r="L42" s="77">
        <f t="shared" si="13"/>
        <v>0</v>
      </c>
      <c r="M42" s="77">
        <f t="shared" si="13"/>
        <v>0</v>
      </c>
    </row>
    <row r="43" spans="1:13" ht="20.25">
      <c r="A43" s="244" t="s">
        <v>50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6"/>
    </row>
    <row r="44" spans="1:13" ht="20.25">
      <c r="A44" s="70" t="s">
        <v>216</v>
      </c>
      <c r="B44" s="65"/>
      <c r="C44" s="66"/>
      <c r="D44" s="66"/>
      <c r="E44" s="65"/>
      <c r="F44" s="67"/>
      <c r="G44" s="66"/>
      <c r="H44" s="65"/>
      <c r="I44" s="67"/>
      <c r="J44" s="66"/>
      <c r="K44" s="66">
        <f aca="true" t="shared" si="14" ref="K44:M47">+B44+E44+H44</f>
        <v>0</v>
      </c>
      <c r="L44" s="66">
        <f t="shared" si="14"/>
        <v>0</v>
      </c>
      <c r="M44" s="66">
        <f t="shared" si="14"/>
        <v>0</v>
      </c>
    </row>
    <row r="45" spans="1:13" ht="20.25">
      <c r="A45" s="70" t="s">
        <v>215</v>
      </c>
      <c r="B45" s="67"/>
      <c r="C45" s="67"/>
      <c r="D45" s="67"/>
      <c r="E45" s="67"/>
      <c r="F45" s="67"/>
      <c r="G45" s="66"/>
      <c r="H45" s="67"/>
      <c r="I45" s="66"/>
      <c r="J45" s="66"/>
      <c r="K45" s="66">
        <f t="shared" si="14"/>
        <v>0</v>
      </c>
      <c r="L45" s="66">
        <f t="shared" si="14"/>
        <v>0</v>
      </c>
      <c r="M45" s="66">
        <f t="shared" si="14"/>
        <v>0</v>
      </c>
    </row>
    <row r="46" spans="1:13" ht="20.25">
      <c r="A46" s="70" t="s">
        <v>214</v>
      </c>
      <c r="B46" s="67"/>
      <c r="C46" s="67"/>
      <c r="D46" s="66"/>
      <c r="E46" s="67"/>
      <c r="F46" s="66"/>
      <c r="G46" s="66"/>
      <c r="H46" s="67"/>
      <c r="I46" s="67"/>
      <c r="J46" s="66"/>
      <c r="K46" s="66">
        <f t="shared" si="14"/>
        <v>0</v>
      </c>
      <c r="L46" s="66">
        <f t="shared" si="14"/>
        <v>0</v>
      </c>
      <c r="M46" s="66">
        <f t="shared" si="14"/>
        <v>0</v>
      </c>
    </row>
    <row r="47" spans="1:13" ht="20.25">
      <c r="A47" s="70" t="s">
        <v>213</v>
      </c>
      <c r="B47" s="67"/>
      <c r="C47" s="67"/>
      <c r="D47" s="66"/>
      <c r="E47" s="67"/>
      <c r="F47" s="66"/>
      <c r="G47" s="66"/>
      <c r="H47" s="67"/>
      <c r="I47" s="67"/>
      <c r="J47" s="66"/>
      <c r="K47" s="66">
        <f t="shared" si="14"/>
        <v>0</v>
      </c>
      <c r="L47" s="66">
        <f t="shared" si="14"/>
        <v>0</v>
      </c>
      <c r="M47" s="66">
        <f t="shared" si="14"/>
        <v>0</v>
      </c>
    </row>
    <row r="48" spans="1:13" ht="20.25">
      <c r="A48" s="71" t="s">
        <v>39</v>
      </c>
      <c r="B48" s="72">
        <f aca="true" t="shared" si="15" ref="B48:M48">SUM(B44:B46)</f>
        <v>0</v>
      </c>
      <c r="C48" s="72">
        <f t="shared" si="15"/>
        <v>0</v>
      </c>
      <c r="D48" s="72">
        <f t="shared" si="15"/>
        <v>0</v>
      </c>
      <c r="E48" s="72">
        <f t="shared" si="15"/>
        <v>0</v>
      </c>
      <c r="F48" s="72">
        <f t="shared" si="15"/>
        <v>0</v>
      </c>
      <c r="G48" s="72">
        <f t="shared" si="15"/>
        <v>0</v>
      </c>
      <c r="H48" s="72">
        <f t="shared" si="15"/>
        <v>0</v>
      </c>
      <c r="I48" s="72">
        <f t="shared" si="15"/>
        <v>0</v>
      </c>
      <c r="J48" s="72">
        <f t="shared" si="15"/>
        <v>0</v>
      </c>
      <c r="K48" s="72">
        <f t="shared" si="15"/>
        <v>0</v>
      </c>
      <c r="L48" s="72">
        <f t="shared" si="15"/>
        <v>0</v>
      </c>
      <c r="M48" s="72">
        <f t="shared" si="15"/>
        <v>0</v>
      </c>
    </row>
    <row r="49" spans="1:13" ht="20.25">
      <c r="A49" s="249" t="s">
        <v>52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1"/>
    </row>
    <row r="50" spans="1:13" ht="20.25">
      <c r="A50" s="70" t="s">
        <v>216</v>
      </c>
      <c r="B50" s="67">
        <f>+B43</f>
        <v>0</v>
      </c>
      <c r="C50" s="67">
        <f aca="true" t="shared" si="16" ref="C50:M50">+C43</f>
        <v>0</v>
      </c>
      <c r="D50" s="67">
        <f t="shared" si="16"/>
        <v>0</v>
      </c>
      <c r="E50" s="67">
        <f t="shared" si="16"/>
        <v>0</v>
      </c>
      <c r="F50" s="67">
        <f t="shared" si="16"/>
        <v>0</v>
      </c>
      <c r="G50" s="67">
        <f t="shared" si="16"/>
        <v>0</v>
      </c>
      <c r="H50" s="67">
        <f t="shared" si="16"/>
        <v>0</v>
      </c>
      <c r="I50" s="67">
        <f t="shared" si="16"/>
        <v>0</v>
      </c>
      <c r="J50" s="67">
        <f t="shared" si="16"/>
        <v>0</v>
      </c>
      <c r="K50" s="67">
        <f t="shared" si="16"/>
        <v>0</v>
      </c>
      <c r="L50" s="67">
        <f t="shared" si="16"/>
        <v>0</v>
      </c>
      <c r="M50" s="67">
        <f t="shared" si="16"/>
        <v>0</v>
      </c>
    </row>
    <row r="51" spans="1:13" ht="20.25">
      <c r="A51" s="70" t="s">
        <v>215</v>
      </c>
      <c r="B51" s="67">
        <f>+B44</f>
        <v>0</v>
      </c>
      <c r="C51" s="67">
        <f aca="true" t="shared" si="17" ref="C51:M51">+C44</f>
        <v>0</v>
      </c>
      <c r="D51" s="67">
        <f t="shared" si="17"/>
        <v>0</v>
      </c>
      <c r="E51" s="67">
        <f t="shared" si="17"/>
        <v>0</v>
      </c>
      <c r="F51" s="67">
        <f t="shared" si="17"/>
        <v>0</v>
      </c>
      <c r="G51" s="67">
        <f t="shared" si="17"/>
        <v>0</v>
      </c>
      <c r="H51" s="67">
        <f t="shared" si="17"/>
        <v>0</v>
      </c>
      <c r="I51" s="67">
        <f t="shared" si="17"/>
        <v>0</v>
      </c>
      <c r="J51" s="67">
        <f t="shared" si="17"/>
        <v>0</v>
      </c>
      <c r="K51" s="67">
        <f t="shared" si="17"/>
        <v>0</v>
      </c>
      <c r="L51" s="67">
        <f t="shared" si="17"/>
        <v>0</v>
      </c>
      <c r="M51" s="67">
        <f t="shared" si="17"/>
        <v>0</v>
      </c>
    </row>
    <row r="52" spans="1:13" ht="20.25">
      <c r="A52" s="70" t="s">
        <v>214</v>
      </c>
      <c r="B52" s="67">
        <f>+B45</f>
        <v>0</v>
      </c>
      <c r="C52" s="67">
        <f aca="true" t="shared" si="18" ref="C52:M52">+C45</f>
        <v>0</v>
      </c>
      <c r="D52" s="67">
        <f t="shared" si="18"/>
        <v>0</v>
      </c>
      <c r="E52" s="67">
        <f t="shared" si="18"/>
        <v>0</v>
      </c>
      <c r="F52" s="67">
        <f t="shared" si="18"/>
        <v>0</v>
      </c>
      <c r="G52" s="67">
        <f t="shared" si="18"/>
        <v>0</v>
      </c>
      <c r="H52" s="67">
        <f t="shared" si="18"/>
        <v>0</v>
      </c>
      <c r="I52" s="67">
        <f t="shared" si="18"/>
        <v>0</v>
      </c>
      <c r="J52" s="67">
        <f t="shared" si="18"/>
        <v>0</v>
      </c>
      <c r="K52" s="67">
        <f t="shared" si="18"/>
        <v>0</v>
      </c>
      <c r="L52" s="67">
        <f t="shared" si="18"/>
        <v>0</v>
      </c>
      <c r="M52" s="67">
        <f t="shared" si="18"/>
        <v>0</v>
      </c>
    </row>
    <row r="53" spans="1:13" ht="20.25">
      <c r="A53" s="70" t="s">
        <v>213</v>
      </c>
      <c r="B53" s="67"/>
      <c r="C53" s="67"/>
      <c r="D53" s="66"/>
      <c r="E53" s="67"/>
      <c r="F53" s="66"/>
      <c r="G53" s="66"/>
      <c r="H53" s="67"/>
      <c r="I53" s="67"/>
      <c r="J53" s="66"/>
      <c r="K53" s="66">
        <f>+B53+E53+H53</f>
        <v>0</v>
      </c>
      <c r="L53" s="66">
        <f>+C53+F53+I53</f>
        <v>0</v>
      </c>
      <c r="M53" s="66">
        <f>+D53+G53+J53</f>
        <v>0</v>
      </c>
    </row>
    <row r="54" spans="1:13" ht="20.25">
      <c r="A54" s="76" t="s">
        <v>39</v>
      </c>
      <c r="B54" s="77">
        <f aca="true" t="shared" si="19" ref="B54:M54">SUM(B50:B52)</f>
        <v>0</v>
      </c>
      <c r="C54" s="77">
        <f t="shared" si="19"/>
        <v>0</v>
      </c>
      <c r="D54" s="77">
        <f t="shared" si="19"/>
        <v>0</v>
      </c>
      <c r="E54" s="77">
        <f t="shared" si="19"/>
        <v>0</v>
      </c>
      <c r="F54" s="77">
        <f t="shared" si="19"/>
        <v>0</v>
      </c>
      <c r="G54" s="77">
        <f t="shared" si="19"/>
        <v>0</v>
      </c>
      <c r="H54" s="77">
        <f t="shared" si="19"/>
        <v>0</v>
      </c>
      <c r="I54" s="77">
        <f t="shared" si="19"/>
        <v>0</v>
      </c>
      <c r="J54" s="77">
        <f t="shared" si="19"/>
        <v>0</v>
      </c>
      <c r="K54" s="77">
        <f t="shared" si="19"/>
        <v>0</v>
      </c>
      <c r="L54" s="77">
        <f t="shared" si="19"/>
        <v>0</v>
      </c>
      <c r="M54" s="77">
        <f t="shared" si="19"/>
        <v>0</v>
      </c>
    </row>
    <row r="55" spans="1:13" ht="20.25">
      <c r="A55" s="252" t="s">
        <v>53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4"/>
    </row>
    <row r="56" spans="1:13" ht="20.25">
      <c r="A56" s="70" t="s">
        <v>216</v>
      </c>
      <c r="B56" s="66">
        <f>+B38+B50</f>
        <v>0</v>
      </c>
      <c r="C56" s="66">
        <f aca="true" t="shared" si="20" ref="C56:M56">+C38+C50</f>
        <v>0</v>
      </c>
      <c r="D56" s="66">
        <f t="shared" si="20"/>
        <v>0</v>
      </c>
      <c r="E56" s="66">
        <f t="shared" si="20"/>
        <v>0</v>
      </c>
      <c r="F56" s="66">
        <f t="shared" si="20"/>
        <v>0</v>
      </c>
      <c r="G56" s="66">
        <f t="shared" si="20"/>
        <v>0</v>
      </c>
      <c r="H56" s="66">
        <f t="shared" si="20"/>
        <v>0</v>
      </c>
      <c r="I56" s="66">
        <f t="shared" si="20"/>
        <v>0</v>
      </c>
      <c r="J56" s="66">
        <f t="shared" si="20"/>
        <v>0</v>
      </c>
      <c r="K56" s="66">
        <f>+K38+K50</f>
        <v>0</v>
      </c>
      <c r="L56" s="66">
        <f t="shared" si="20"/>
        <v>0</v>
      </c>
      <c r="M56" s="66">
        <f t="shared" si="20"/>
        <v>0</v>
      </c>
    </row>
    <row r="57" spans="1:13" ht="20.25">
      <c r="A57" s="70" t="s">
        <v>215</v>
      </c>
      <c r="B57" s="66">
        <f>+B39+B51</f>
        <v>0</v>
      </c>
      <c r="C57" s="66">
        <f aca="true" t="shared" si="21" ref="C57:M57">+C39+C51</f>
        <v>0</v>
      </c>
      <c r="D57" s="66">
        <f t="shared" si="21"/>
        <v>0</v>
      </c>
      <c r="E57" s="66">
        <f t="shared" si="21"/>
        <v>0</v>
      </c>
      <c r="F57" s="66">
        <f t="shared" si="21"/>
        <v>0</v>
      </c>
      <c r="G57" s="66">
        <f t="shared" si="21"/>
        <v>0</v>
      </c>
      <c r="H57" s="66">
        <f t="shared" si="21"/>
        <v>0</v>
      </c>
      <c r="I57" s="66">
        <f t="shared" si="21"/>
        <v>0</v>
      </c>
      <c r="J57" s="66">
        <f t="shared" si="21"/>
        <v>0</v>
      </c>
      <c r="K57" s="66">
        <f t="shared" si="21"/>
        <v>0</v>
      </c>
      <c r="L57" s="66">
        <f t="shared" si="21"/>
        <v>0</v>
      </c>
      <c r="M57" s="66">
        <f t="shared" si="21"/>
        <v>0</v>
      </c>
    </row>
    <row r="58" spans="1:13" ht="20.25">
      <c r="A58" s="70" t="s">
        <v>214</v>
      </c>
      <c r="B58" s="66">
        <f>+B40+B52</f>
        <v>0</v>
      </c>
      <c r="C58" s="66">
        <f aca="true" t="shared" si="22" ref="C58:M58">+C40+C52</f>
        <v>0</v>
      </c>
      <c r="D58" s="66">
        <f t="shared" si="22"/>
        <v>0</v>
      </c>
      <c r="E58" s="66">
        <f t="shared" si="22"/>
        <v>0</v>
      </c>
      <c r="F58" s="66">
        <f t="shared" si="22"/>
        <v>0</v>
      </c>
      <c r="G58" s="66">
        <f t="shared" si="22"/>
        <v>0</v>
      </c>
      <c r="H58" s="66">
        <f t="shared" si="22"/>
        <v>0</v>
      </c>
      <c r="I58" s="66">
        <f t="shared" si="22"/>
        <v>0</v>
      </c>
      <c r="J58" s="66">
        <f t="shared" si="22"/>
        <v>0</v>
      </c>
      <c r="K58" s="66">
        <f t="shared" si="22"/>
        <v>0</v>
      </c>
      <c r="L58" s="66">
        <f t="shared" si="22"/>
        <v>0</v>
      </c>
      <c r="M58" s="66">
        <f t="shared" si="22"/>
        <v>0</v>
      </c>
    </row>
    <row r="59" spans="1:13" ht="20.25">
      <c r="A59" s="70" t="s">
        <v>213</v>
      </c>
      <c r="B59" s="67"/>
      <c r="C59" s="67"/>
      <c r="D59" s="66"/>
      <c r="E59" s="67"/>
      <c r="F59" s="66"/>
      <c r="G59" s="66"/>
      <c r="H59" s="67"/>
      <c r="I59" s="67"/>
      <c r="J59" s="66"/>
      <c r="K59" s="66">
        <f>+B59+E59+H59</f>
        <v>0</v>
      </c>
      <c r="L59" s="66">
        <f>+C59+F59+I59</f>
        <v>0</v>
      </c>
      <c r="M59" s="66">
        <f>+D59+G59+J59</f>
        <v>0</v>
      </c>
    </row>
    <row r="60" spans="1:13" ht="20.25">
      <c r="A60" s="71" t="s">
        <v>39</v>
      </c>
      <c r="B60" s="72">
        <f aca="true" t="shared" si="23" ref="B60:M60">SUM(B56:B58)</f>
        <v>0</v>
      </c>
      <c r="C60" s="72">
        <f t="shared" si="23"/>
        <v>0</v>
      </c>
      <c r="D60" s="72">
        <f t="shared" si="23"/>
        <v>0</v>
      </c>
      <c r="E60" s="72">
        <f t="shared" si="23"/>
        <v>0</v>
      </c>
      <c r="F60" s="72">
        <f t="shared" si="23"/>
        <v>0</v>
      </c>
      <c r="G60" s="72">
        <f t="shared" si="23"/>
        <v>0</v>
      </c>
      <c r="H60" s="72">
        <f t="shared" si="23"/>
        <v>0</v>
      </c>
      <c r="I60" s="72">
        <f t="shared" si="23"/>
        <v>0</v>
      </c>
      <c r="J60" s="72">
        <f t="shared" si="23"/>
        <v>0</v>
      </c>
      <c r="K60" s="72">
        <f t="shared" si="23"/>
        <v>0</v>
      </c>
      <c r="L60" s="72">
        <f t="shared" si="23"/>
        <v>0</v>
      </c>
      <c r="M60" s="72">
        <f t="shared" si="23"/>
        <v>0</v>
      </c>
    </row>
    <row r="61" spans="1:13" s="75" customFormat="1" ht="2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1:13" s="40" customFormat="1" ht="20.25">
      <c r="A62" s="209" t="s">
        <v>34</v>
      </c>
      <c r="B62" s="209"/>
      <c r="C62" s="209"/>
      <c r="D62" s="99">
        <f>+D60</f>
        <v>0</v>
      </c>
      <c r="E62" s="247"/>
      <c r="F62" s="247"/>
      <c r="G62" s="99">
        <f>+G60</f>
        <v>0</v>
      </c>
      <c r="H62" s="248"/>
      <c r="I62" s="248"/>
      <c r="J62" s="101">
        <f>+J60</f>
        <v>0</v>
      </c>
      <c r="K62" s="248"/>
      <c r="L62" s="248"/>
      <c r="M62" s="102">
        <f>+M60</f>
        <v>0</v>
      </c>
    </row>
    <row r="63" spans="1:13" s="40" customFormat="1" ht="20.25">
      <c r="A63" s="255" t="s">
        <v>14</v>
      </c>
      <c r="B63" s="255"/>
      <c r="C63" s="255"/>
      <c r="D63" s="100">
        <f>D62*20%</f>
        <v>0</v>
      </c>
      <c r="E63" s="241"/>
      <c r="F63" s="241"/>
      <c r="G63" s="100">
        <f>G62*20%</f>
        <v>0</v>
      </c>
      <c r="H63" s="242"/>
      <c r="I63" s="242"/>
      <c r="J63" s="100">
        <f>J62*20%</f>
        <v>0</v>
      </c>
      <c r="K63" s="242"/>
      <c r="L63" s="242"/>
      <c r="M63" s="100">
        <f>M62*20%</f>
        <v>0</v>
      </c>
    </row>
    <row r="64" spans="1:13" s="40" customFormat="1" ht="20.25">
      <c r="A64" s="255" t="s">
        <v>15</v>
      </c>
      <c r="B64" s="255"/>
      <c r="C64" s="255"/>
      <c r="D64" s="100">
        <f>D62*10%</f>
        <v>0</v>
      </c>
      <c r="E64" s="241"/>
      <c r="F64" s="241"/>
      <c r="G64" s="100">
        <f>G62*10%</f>
        <v>0</v>
      </c>
      <c r="H64" s="242"/>
      <c r="I64" s="242"/>
      <c r="J64" s="100">
        <f>J62*10%</f>
        <v>0</v>
      </c>
      <c r="K64" s="242"/>
      <c r="L64" s="242"/>
      <c r="M64" s="100">
        <f>M62*10%</f>
        <v>0</v>
      </c>
    </row>
    <row r="65" spans="1:13" s="40" customFormat="1" ht="20.25">
      <c r="A65" s="243" t="s">
        <v>16</v>
      </c>
      <c r="B65" s="243"/>
      <c r="C65" s="243"/>
      <c r="D65" s="100">
        <f>D62*70%</f>
        <v>0</v>
      </c>
      <c r="E65" s="241"/>
      <c r="F65" s="241"/>
      <c r="G65" s="100">
        <f>G62*70%</f>
        <v>0</v>
      </c>
      <c r="H65" s="242"/>
      <c r="I65" s="242"/>
      <c r="J65" s="100">
        <f>J62*70%</f>
        <v>0</v>
      </c>
      <c r="K65" s="242"/>
      <c r="L65" s="242"/>
      <c r="M65" s="100">
        <f>M62*70%</f>
        <v>0</v>
      </c>
    </row>
    <row r="66" spans="1:13" s="75" customFormat="1" ht="20.25">
      <c r="A66" s="208" t="s">
        <v>17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</row>
    <row r="67" ht="20.25">
      <c r="E67" s="68"/>
    </row>
    <row r="68" ht="20.25">
      <c r="D68" s="68"/>
    </row>
    <row r="69" ht="20.25">
      <c r="D69" s="68"/>
    </row>
    <row r="76" ht="20.25">
      <c r="D76" s="68"/>
    </row>
  </sheetData>
  <sheetProtection/>
  <mergeCells count="34">
    <mergeCell ref="E5:G5"/>
    <mergeCell ref="H5:J5"/>
    <mergeCell ref="K5:M5"/>
    <mergeCell ref="A7:M7"/>
    <mergeCell ref="A13:M13"/>
    <mergeCell ref="A19:M19"/>
    <mergeCell ref="A63:C63"/>
    <mergeCell ref="A64:C64"/>
    <mergeCell ref="A1:L1"/>
    <mergeCell ref="A2:L2"/>
    <mergeCell ref="A3:L3"/>
    <mergeCell ref="A5:A6"/>
    <mergeCell ref="A25:M25"/>
    <mergeCell ref="A37:M37"/>
    <mergeCell ref="A31:M31"/>
    <mergeCell ref="B5:D5"/>
    <mergeCell ref="A43:M43"/>
    <mergeCell ref="E62:F62"/>
    <mergeCell ref="H62:I62"/>
    <mergeCell ref="K62:L62"/>
    <mergeCell ref="E63:F63"/>
    <mergeCell ref="H63:I63"/>
    <mergeCell ref="K63:L63"/>
    <mergeCell ref="A49:M49"/>
    <mergeCell ref="A55:M55"/>
    <mergeCell ref="A62:C62"/>
    <mergeCell ref="A66:M66"/>
    <mergeCell ref="E64:F64"/>
    <mergeCell ref="H64:I64"/>
    <mergeCell ref="K64:L64"/>
    <mergeCell ref="E65:F65"/>
    <mergeCell ref="H65:I65"/>
    <mergeCell ref="K65:L65"/>
    <mergeCell ref="A65:C65"/>
  </mergeCells>
  <printOptions horizontalCentered="1"/>
  <pageMargins left="0.31496062992126" right="0.31496062992126" top="0.94488188976378" bottom="0.25" header="0.31496062992126" footer="0.31496062992126"/>
  <pageSetup fitToHeight="0" fitToWidth="1" horizontalDpi="600" verticalDpi="600" orientation="landscape" paperSize="9" r:id="rId1"/>
  <rowBreaks count="3" manualBreakCount="3">
    <brk id="18" max="255" man="1"/>
    <brk id="36" max="255" man="1"/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20"/>
  <sheetViews>
    <sheetView view="pageBreakPreview" zoomScale="95" zoomScaleSheetLayoutView="95" zoomScalePageLayoutView="0" workbookViewId="0" topLeftCell="A1">
      <selection activeCell="E5" sqref="E5:E6"/>
    </sheetView>
  </sheetViews>
  <sheetFormatPr defaultColWidth="9.00390625" defaultRowHeight="15"/>
  <cols>
    <col min="1" max="1" width="28.140625" style="64" customWidth="1"/>
    <col min="2" max="2" width="9.140625" style="64" bestFit="1" customWidth="1"/>
    <col min="3" max="3" width="10.7109375" style="64" bestFit="1" customWidth="1"/>
    <col min="4" max="4" width="7.421875" style="108" bestFit="1" customWidth="1"/>
    <col min="5" max="5" width="10.421875" style="64" bestFit="1" customWidth="1"/>
    <col min="6" max="7" width="8.57421875" style="64" bestFit="1" customWidth="1"/>
    <col min="8" max="8" width="7.28125" style="64" bestFit="1" customWidth="1"/>
    <col min="9" max="16384" width="9.00390625" style="64" customWidth="1"/>
  </cols>
  <sheetData>
    <row r="1" spans="1:7" s="1" customFormat="1" ht="20.25">
      <c r="A1" s="212" t="s">
        <v>204</v>
      </c>
      <c r="B1" s="212"/>
      <c r="C1" s="212"/>
      <c r="D1" s="212"/>
      <c r="E1" s="212"/>
      <c r="F1" s="105"/>
      <c r="G1" s="105"/>
    </row>
    <row r="2" spans="1:7" s="1" customFormat="1" ht="20.25">
      <c r="A2" s="212" t="s">
        <v>89</v>
      </c>
      <c r="B2" s="212"/>
      <c r="C2" s="212"/>
      <c r="D2" s="212"/>
      <c r="E2" s="212"/>
      <c r="F2" s="105"/>
      <c r="G2" s="105"/>
    </row>
    <row r="3" spans="1:7" s="1" customFormat="1" ht="20.25">
      <c r="A3" s="215" t="s">
        <v>43</v>
      </c>
      <c r="B3" s="215"/>
      <c r="C3" s="215"/>
      <c r="D3" s="215"/>
      <c r="E3" s="215"/>
      <c r="F3" s="106"/>
      <c r="G3" s="106"/>
    </row>
    <row r="5" spans="1:5" ht="20.25">
      <c r="A5" s="213" t="s">
        <v>55</v>
      </c>
      <c r="B5" s="213" t="s">
        <v>56</v>
      </c>
      <c r="C5" s="216" t="s">
        <v>80</v>
      </c>
      <c r="D5" s="213" t="s">
        <v>81</v>
      </c>
      <c r="E5" s="213" t="s">
        <v>60</v>
      </c>
    </row>
    <row r="6" spans="1:5" ht="20.25">
      <c r="A6" s="214"/>
      <c r="B6" s="214"/>
      <c r="C6" s="216"/>
      <c r="D6" s="214"/>
      <c r="E6" s="214"/>
    </row>
    <row r="7" spans="1:5" ht="20.25">
      <c r="A7" s="103" t="s">
        <v>87</v>
      </c>
      <c r="B7" s="103">
        <v>20</v>
      </c>
      <c r="C7" s="103">
        <v>600</v>
      </c>
      <c r="D7" s="104"/>
      <c r="E7" s="104"/>
    </row>
    <row r="8" spans="1:5" ht="20.25">
      <c r="A8" s="103" t="s">
        <v>88</v>
      </c>
      <c r="B8" s="103">
        <v>7</v>
      </c>
      <c r="C8" s="103">
        <v>900</v>
      </c>
      <c r="D8" s="104"/>
      <c r="E8" s="104"/>
    </row>
    <row r="9" spans="1:5" ht="20.25">
      <c r="A9" s="103" t="s">
        <v>82</v>
      </c>
      <c r="B9" s="103">
        <v>1</v>
      </c>
      <c r="C9" s="103">
        <v>1500</v>
      </c>
      <c r="D9" s="104"/>
      <c r="E9" s="104"/>
    </row>
    <row r="10" spans="1:5" ht="20.25">
      <c r="A10" s="103" t="s">
        <v>85</v>
      </c>
      <c r="B10" s="103">
        <v>1</v>
      </c>
      <c r="C10" s="103">
        <v>2000</v>
      </c>
      <c r="D10" s="104"/>
      <c r="E10" s="104"/>
    </row>
    <row r="11" spans="1:5" ht="20.25">
      <c r="A11" s="103" t="s">
        <v>83</v>
      </c>
      <c r="B11" s="103">
        <v>1</v>
      </c>
      <c r="C11" s="103">
        <v>2000</v>
      </c>
      <c r="D11" s="104"/>
      <c r="E11" s="104"/>
    </row>
    <row r="12" spans="1:5" ht="20.25">
      <c r="A12" s="103" t="s">
        <v>84</v>
      </c>
      <c r="B12" s="103">
        <v>1</v>
      </c>
      <c r="C12" s="103">
        <v>3000</v>
      </c>
      <c r="D12" s="104"/>
      <c r="E12" s="104"/>
    </row>
    <row r="13" spans="1:5" ht="20.25">
      <c r="A13" s="103" t="s">
        <v>86</v>
      </c>
      <c r="B13" s="103">
        <v>1</v>
      </c>
      <c r="C13" s="103">
        <v>3000</v>
      </c>
      <c r="D13" s="104"/>
      <c r="E13" s="104"/>
    </row>
    <row r="14" spans="1:5" ht="21" customHeight="1">
      <c r="A14" s="114" t="s">
        <v>13</v>
      </c>
      <c r="B14" s="103"/>
      <c r="C14" s="103"/>
      <c r="D14" s="104">
        <f>SUM(D7:D13)</f>
        <v>0</v>
      </c>
      <c r="E14" s="104">
        <f>SUM(E7:E13)</f>
        <v>0</v>
      </c>
    </row>
    <row r="16" spans="1:5" s="1" customFormat="1" ht="20.25">
      <c r="A16" s="265" t="s">
        <v>34</v>
      </c>
      <c r="B16" s="266"/>
      <c r="C16" s="266"/>
      <c r="D16" s="267"/>
      <c r="E16" s="109">
        <f>+E14</f>
        <v>0</v>
      </c>
    </row>
    <row r="17" spans="1:5" s="1" customFormat="1" ht="20.25">
      <c r="A17" s="268" t="s">
        <v>14</v>
      </c>
      <c r="B17" s="269"/>
      <c r="C17" s="269"/>
      <c r="D17" s="270"/>
      <c r="E17" s="110">
        <f>E16*20%</f>
        <v>0</v>
      </c>
    </row>
    <row r="18" spans="1:5" s="1" customFormat="1" ht="20.25">
      <c r="A18" s="268" t="s">
        <v>15</v>
      </c>
      <c r="B18" s="269"/>
      <c r="C18" s="269"/>
      <c r="D18" s="270"/>
      <c r="E18" s="110">
        <f>E16*10%</f>
        <v>0</v>
      </c>
    </row>
    <row r="19" spans="1:5" s="1" customFormat="1" ht="20.25">
      <c r="A19" s="271" t="s">
        <v>16</v>
      </c>
      <c r="B19" s="272"/>
      <c r="C19" s="272"/>
      <c r="D19" s="273"/>
      <c r="E19" s="110">
        <f>E16*70%</f>
        <v>0</v>
      </c>
    </row>
    <row r="20" spans="1:10" ht="20.25">
      <c r="A20" s="208" t="s">
        <v>17</v>
      </c>
      <c r="B20" s="208"/>
      <c r="C20" s="208"/>
      <c r="D20" s="208"/>
      <c r="E20" s="208"/>
      <c r="F20" s="106"/>
      <c r="G20" s="106"/>
      <c r="H20" s="106"/>
      <c r="I20" s="106"/>
      <c r="J20" s="106"/>
    </row>
  </sheetData>
  <sheetProtection/>
  <mergeCells count="13">
    <mergeCell ref="A19:D19"/>
    <mergeCell ref="A20:E20"/>
    <mergeCell ref="A5:A6"/>
    <mergeCell ref="B5:B6"/>
    <mergeCell ref="C5:C6"/>
    <mergeCell ref="E5:E6"/>
    <mergeCell ref="D5:D6"/>
    <mergeCell ref="A1:E1"/>
    <mergeCell ref="A2:E2"/>
    <mergeCell ref="A3:E3"/>
    <mergeCell ref="A16:D16"/>
    <mergeCell ref="A17:D17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14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5"/>
  <cols>
    <col min="1" max="1" width="40.421875" style="112" customWidth="1"/>
    <col min="2" max="9" width="11.28125" style="112" customWidth="1"/>
    <col min="10" max="10" width="16.7109375" style="112" customWidth="1"/>
    <col min="11" max="16384" width="9.00390625" style="112" customWidth="1"/>
  </cols>
  <sheetData>
    <row r="1" spans="1:10" ht="28.5" customHeight="1">
      <c r="A1" s="212" t="s">
        <v>204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8.5" customHeight="1">
      <c r="A2" s="212" t="s">
        <v>79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8.5" customHeight="1">
      <c r="A3" s="215" t="s">
        <v>43</v>
      </c>
      <c r="B3" s="215"/>
      <c r="C3" s="215"/>
      <c r="D3" s="215"/>
      <c r="E3" s="215"/>
      <c r="F3" s="215"/>
      <c r="G3" s="215"/>
      <c r="H3" s="215"/>
      <c r="I3" s="215"/>
      <c r="J3" s="215"/>
    </row>
    <row r="4" ht="24"/>
    <row r="5" spans="1:10" ht="24">
      <c r="A5" s="274" t="s">
        <v>90</v>
      </c>
      <c r="B5" s="274" t="s">
        <v>91</v>
      </c>
      <c r="C5" s="274"/>
      <c r="D5" s="274"/>
      <c r="E5" s="115" t="s">
        <v>92</v>
      </c>
      <c r="F5" s="115" t="s">
        <v>93</v>
      </c>
      <c r="G5" s="274" t="s">
        <v>94</v>
      </c>
      <c r="H5" s="274"/>
      <c r="I5" s="274"/>
      <c r="J5" s="275" t="s">
        <v>95</v>
      </c>
    </row>
    <row r="6" spans="1:10" ht="24">
      <c r="A6" s="274"/>
      <c r="B6" s="274"/>
      <c r="C6" s="274"/>
      <c r="D6" s="274"/>
      <c r="E6" s="116" t="s">
        <v>96</v>
      </c>
      <c r="F6" s="116"/>
      <c r="G6" s="115" t="s">
        <v>97</v>
      </c>
      <c r="H6" s="117" t="s">
        <v>98</v>
      </c>
      <c r="I6" s="115" t="s">
        <v>13</v>
      </c>
      <c r="J6" s="276"/>
    </row>
    <row r="7" spans="1:10" ht="24">
      <c r="A7" s="274"/>
      <c r="B7" s="274" t="s">
        <v>99</v>
      </c>
      <c r="C7" s="274" t="s">
        <v>100</v>
      </c>
      <c r="D7" s="274" t="s">
        <v>101</v>
      </c>
      <c r="E7" s="116">
        <v>1</v>
      </c>
      <c r="F7" s="116">
        <v>0.2</v>
      </c>
      <c r="G7" s="116">
        <v>0.7</v>
      </c>
      <c r="H7" s="116">
        <v>0.1</v>
      </c>
      <c r="I7" s="116">
        <v>0.8</v>
      </c>
      <c r="J7" s="276"/>
    </row>
    <row r="8" spans="1:10" ht="24">
      <c r="A8" s="274"/>
      <c r="B8" s="274"/>
      <c r="C8" s="274"/>
      <c r="D8" s="274"/>
      <c r="E8" s="118" t="s">
        <v>102</v>
      </c>
      <c r="F8" s="118" t="s">
        <v>102</v>
      </c>
      <c r="G8" s="118" t="s">
        <v>102</v>
      </c>
      <c r="H8" s="118" t="s">
        <v>102</v>
      </c>
      <c r="I8" s="118" t="s">
        <v>102</v>
      </c>
      <c r="J8" s="277"/>
    </row>
    <row r="9" spans="1:10" ht="24">
      <c r="A9" s="119" t="s">
        <v>103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24">
      <c r="A10" s="120" t="s">
        <v>104</v>
      </c>
      <c r="B10" s="121"/>
      <c r="C10" s="121"/>
      <c r="D10" s="121"/>
      <c r="E10" s="122">
        <f>B13+C13+D13</f>
        <v>0</v>
      </c>
      <c r="F10" s="122">
        <f>(E10*20)/100</f>
        <v>0</v>
      </c>
      <c r="G10" s="123">
        <f>E10*70/100</f>
        <v>0</v>
      </c>
      <c r="H10" s="123">
        <f>E10*10/100</f>
        <v>0</v>
      </c>
      <c r="I10" s="123">
        <f>E10*80/100</f>
        <v>0</v>
      </c>
      <c r="J10" s="123">
        <f>G10+H10</f>
        <v>0</v>
      </c>
    </row>
    <row r="11" spans="1:10" ht="24">
      <c r="A11" s="120" t="s">
        <v>217</v>
      </c>
      <c r="B11" s="121"/>
      <c r="C11" s="121"/>
      <c r="D11" s="121"/>
      <c r="E11" s="122"/>
      <c r="F11" s="122"/>
      <c r="G11" s="123"/>
      <c r="H11" s="123"/>
      <c r="I11" s="123"/>
      <c r="J11" s="123"/>
    </row>
    <row r="12" spans="1:10" ht="24">
      <c r="A12" s="120" t="s">
        <v>218</v>
      </c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s="128" customFormat="1" ht="24">
      <c r="A13" s="125" t="s">
        <v>13</v>
      </c>
      <c r="B13" s="126"/>
      <c r="C13" s="127"/>
      <c r="D13" s="126"/>
      <c r="E13" s="126"/>
      <c r="F13" s="126"/>
      <c r="G13" s="126"/>
      <c r="H13" s="126"/>
      <c r="I13" s="126"/>
      <c r="J13" s="126">
        <f>SUM(J9:J12)</f>
        <v>0</v>
      </c>
    </row>
    <row r="14" spans="1:10" ht="24">
      <c r="A14" s="208" t="s">
        <v>17</v>
      </c>
      <c r="B14" s="208"/>
      <c r="C14" s="208"/>
      <c r="D14" s="208"/>
      <c r="E14" s="208"/>
      <c r="F14" s="208"/>
      <c r="G14" s="208"/>
      <c r="H14" s="208"/>
      <c r="I14" s="208"/>
      <c r="J14" s="208"/>
    </row>
    <row r="15" ht="24"/>
  </sheetData>
  <sheetProtection/>
  <mergeCells count="11">
    <mergeCell ref="C7:C8"/>
    <mergeCell ref="D7:D8"/>
    <mergeCell ref="A1:J1"/>
    <mergeCell ref="A14:J14"/>
    <mergeCell ref="A2:J2"/>
    <mergeCell ref="A3:J3"/>
    <mergeCell ref="A5:A8"/>
    <mergeCell ref="B5:D6"/>
    <mergeCell ref="G5:I5"/>
    <mergeCell ref="J5:J8"/>
    <mergeCell ref="B7:B8"/>
  </mergeCells>
  <printOptions horizontalCentered="1"/>
  <pageMargins left="0.25" right="0.25" top="0.75" bottom="0.75" header="0.3" footer="0.3"/>
  <pageSetup fitToHeight="0" fitToWidth="1" horizontalDpi="300" verticalDpi="300" orientation="landscape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21"/>
  <sheetViews>
    <sheetView view="pageBreakPreview" zoomScale="70" zoomScaleSheetLayoutView="70" zoomScalePageLayoutView="0" workbookViewId="0" topLeftCell="A1">
      <selection activeCell="O9" sqref="O9"/>
    </sheetView>
  </sheetViews>
  <sheetFormatPr defaultColWidth="9.00390625" defaultRowHeight="15"/>
  <cols>
    <col min="1" max="1" width="24.28125" style="132" bestFit="1" customWidth="1"/>
    <col min="2" max="2" width="17.7109375" style="132" customWidth="1"/>
    <col min="3" max="3" width="9.7109375" style="132" customWidth="1"/>
    <col min="4" max="4" width="6.7109375" style="132" customWidth="1"/>
    <col min="5" max="5" width="7.421875" style="132" customWidth="1"/>
    <col min="6" max="6" width="9.57421875" style="132" customWidth="1"/>
    <col min="7" max="7" width="11.421875" style="132" customWidth="1"/>
    <col min="8" max="8" width="9.7109375" style="132" customWidth="1"/>
    <col min="9" max="9" width="16.140625" style="132" customWidth="1"/>
    <col min="10" max="11" width="11.57421875" style="132" customWidth="1"/>
    <col min="12" max="12" width="13.7109375" style="132" bestFit="1" customWidth="1"/>
    <col min="13" max="13" width="9.00390625" style="132" customWidth="1"/>
    <col min="14" max="16384" width="9.00390625" style="132" customWidth="1"/>
  </cols>
  <sheetData>
    <row r="1" spans="1:12" s="131" customFormat="1" ht="20.25">
      <c r="A1" s="283" t="s">
        <v>136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131" customFormat="1" ht="20.25">
      <c r="A2" s="283" t="s">
        <v>219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131" customFormat="1" ht="20.25">
      <c r="A3" s="283" t="s">
        <v>43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5" spans="1:13" ht="20.25">
      <c r="A5" s="284" t="s">
        <v>105</v>
      </c>
      <c r="B5" s="285" t="s">
        <v>106</v>
      </c>
      <c r="C5" s="286"/>
      <c r="D5" s="286"/>
      <c r="E5" s="286"/>
      <c r="F5" s="286"/>
      <c r="G5" s="286"/>
      <c r="H5" s="286"/>
      <c r="I5" s="286"/>
      <c r="J5" s="286"/>
      <c r="K5" s="286"/>
      <c r="L5" s="287" t="s">
        <v>13</v>
      </c>
      <c r="M5" s="135"/>
    </row>
    <row r="6" spans="1:13" ht="20.25">
      <c r="A6" s="284"/>
      <c r="B6" s="290" t="s">
        <v>107</v>
      </c>
      <c r="C6" s="136" t="s">
        <v>108</v>
      </c>
      <c r="D6" s="136" t="s">
        <v>108</v>
      </c>
      <c r="E6" s="136" t="s">
        <v>108</v>
      </c>
      <c r="F6" s="136" t="s">
        <v>108</v>
      </c>
      <c r="G6" s="136" t="s">
        <v>109</v>
      </c>
      <c r="H6" s="136" t="s">
        <v>108</v>
      </c>
      <c r="I6" s="284" t="s">
        <v>110</v>
      </c>
      <c r="J6" s="284"/>
      <c r="K6" s="136" t="s">
        <v>111</v>
      </c>
      <c r="L6" s="288"/>
      <c r="M6" s="135"/>
    </row>
    <row r="7" spans="1:13" ht="20.25">
      <c r="A7" s="284"/>
      <c r="B7" s="291"/>
      <c r="C7" s="137" t="s">
        <v>112</v>
      </c>
      <c r="D7" s="137" t="s">
        <v>113</v>
      </c>
      <c r="E7" s="137" t="s">
        <v>114</v>
      </c>
      <c r="F7" s="137" t="s">
        <v>115</v>
      </c>
      <c r="G7" s="137"/>
      <c r="H7" s="137" t="s">
        <v>116</v>
      </c>
      <c r="I7" s="284" t="s">
        <v>117</v>
      </c>
      <c r="J7" s="284"/>
      <c r="K7" s="137" t="s">
        <v>118</v>
      </c>
      <c r="L7" s="288"/>
      <c r="M7" s="135"/>
    </row>
    <row r="8" spans="1:13" ht="40.5">
      <c r="A8" s="284"/>
      <c r="B8" s="292"/>
      <c r="C8" s="138" t="s">
        <v>119</v>
      </c>
      <c r="D8" s="139" t="s">
        <v>120</v>
      </c>
      <c r="E8" s="139" t="s">
        <v>120</v>
      </c>
      <c r="F8" s="139" t="s">
        <v>121</v>
      </c>
      <c r="G8" s="139" t="s">
        <v>122</v>
      </c>
      <c r="H8" s="139" t="s">
        <v>119</v>
      </c>
      <c r="I8" s="140" t="s">
        <v>123</v>
      </c>
      <c r="J8" s="140" t="s">
        <v>124</v>
      </c>
      <c r="K8" s="141" t="s">
        <v>125</v>
      </c>
      <c r="L8" s="288"/>
      <c r="M8" s="135"/>
    </row>
    <row r="9" spans="1:12" ht="19.5" customHeight="1">
      <c r="A9" s="284"/>
      <c r="B9" s="142" t="s">
        <v>126</v>
      </c>
      <c r="C9" s="134">
        <v>1000</v>
      </c>
      <c r="D9" s="134">
        <v>0</v>
      </c>
      <c r="E9" s="134">
        <v>0</v>
      </c>
      <c r="F9" s="134">
        <v>300</v>
      </c>
      <c r="G9" s="134">
        <v>0</v>
      </c>
      <c r="H9" s="134">
        <v>300</v>
      </c>
      <c r="I9" s="134">
        <v>200</v>
      </c>
      <c r="J9" s="134">
        <v>300</v>
      </c>
      <c r="K9" s="134">
        <v>500</v>
      </c>
      <c r="L9" s="289"/>
    </row>
    <row r="10" spans="1:12" ht="19.5" customHeight="1">
      <c r="A10" s="133" t="s">
        <v>127</v>
      </c>
      <c r="B10" s="143"/>
      <c r="C10" s="144">
        <f>+B10*1000</f>
        <v>0</v>
      </c>
      <c r="D10" s="144">
        <f>+B10*0</f>
        <v>0</v>
      </c>
      <c r="E10" s="144">
        <f>+B10*0</f>
        <v>0</v>
      </c>
      <c r="F10" s="144">
        <f>+B10*300</f>
        <v>0</v>
      </c>
      <c r="G10" s="144">
        <f>+B10*0</f>
        <v>0</v>
      </c>
      <c r="H10" s="144">
        <f>+B10*300</f>
        <v>0</v>
      </c>
      <c r="I10" s="144">
        <f>+B10*200*9</f>
        <v>0</v>
      </c>
      <c r="J10" s="144">
        <v>0</v>
      </c>
      <c r="K10" s="144">
        <f>+B10*500</f>
        <v>0</v>
      </c>
      <c r="L10" s="145">
        <f>SUM(C10:K10)</f>
        <v>0</v>
      </c>
    </row>
    <row r="11" spans="1:12" ht="19.5" customHeight="1">
      <c r="A11" s="133" t="s">
        <v>128</v>
      </c>
      <c r="B11" s="143"/>
      <c r="C11" s="144">
        <f>+B11*1000</f>
        <v>0</v>
      </c>
      <c r="D11" s="144">
        <f>+B11*0</f>
        <v>0</v>
      </c>
      <c r="E11" s="144">
        <f>+B11*0</f>
        <v>0</v>
      </c>
      <c r="F11" s="144">
        <f>+B11*300</f>
        <v>0</v>
      </c>
      <c r="G11" s="144">
        <f>+B11*0</f>
        <v>0</v>
      </c>
      <c r="H11" s="144">
        <f>+B11*300</f>
        <v>0</v>
      </c>
      <c r="I11" s="144"/>
      <c r="J11" s="144">
        <f>+B11*300*9</f>
        <v>0</v>
      </c>
      <c r="K11" s="144">
        <f>+B11*500</f>
        <v>0</v>
      </c>
      <c r="L11" s="145">
        <f>SUM(C11:K11)</f>
        <v>0</v>
      </c>
    </row>
    <row r="12" spans="1:13" ht="19.5" customHeight="1">
      <c r="A12" s="133" t="s">
        <v>129</v>
      </c>
      <c r="B12" s="143"/>
      <c r="C12" s="144">
        <f>+B12*1000</f>
        <v>0</v>
      </c>
      <c r="D12" s="144">
        <f>+B12*0</f>
        <v>0</v>
      </c>
      <c r="E12" s="144">
        <f>+B12*0</f>
        <v>0</v>
      </c>
      <c r="F12" s="144">
        <f>+B12*300</f>
        <v>0</v>
      </c>
      <c r="G12" s="144">
        <f>+B12*0</f>
        <v>0</v>
      </c>
      <c r="H12" s="144">
        <f>+B12*300</f>
        <v>0</v>
      </c>
      <c r="I12" s="144"/>
      <c r="J12" s="144">
        <f>+B12*300*5</f>
        <v>0</v>
      </c>
      <c r="K12" s="144">
        <f>+B12*500</f>
        <v>0</v>
      </c>
      <c r="L12" s="145">
        <f>SUM(C12:K12)</f>
        <v>0</v>
      </c>
      <c r="M12" s="135"/>
    </row>
    <row r="13" spans="1:12" ht="20.25">
      <c r="A13" s="146" t="s">
        <v>130</v>
      </c>
      <c r="B13" s="147">
        <f>SUM(B10:B12)</f>
        <v>0</v>
      </c>
      <c r="C13" s="147">
        <f aca="true" t="shared" si="0" ref="C13:L13">SUM(C10:C12)</f>
        <v>0</v>
      </c>
      <c r="D13" s="147">
        <f t="shared" si="0"/>
        <v>0</v>
      </c>
      <c r="E13" s="147">
        <f t="shared" si="0"/>
        <v>0</v>
      </c>
      <c r="F13" s="147">
        <f t="shared" si="0"/>
        <v>0</v>
      </c>
      <c r="G13" s="147">
        <f t="shared" si="0"/>
        <v>0</v>
      </c>
      <c r="H13" s="147">
        <f t="shared" si="0"/>
        <v>0</v>
      </c>
      <c r="I13" s="147">
        <f t="shared" si="0"/>
        <v>0</v>
      </c>
      <c r="J13" s="147">
        <f t="shared" si="0"/>
        <v>0</v>
      </c>
      <c r="K13" s="147">
        <f t="shared" si="0"/>
        <v>0</v>
      </c>
      <c r="L13" s="148">
        <f t="shared" si="0"/>
        <v>0</v>
      </c>
    </row>
    <row r="14" spans="1:12" ht="20.2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148">
        <f>(+L13*0.05)+L13</f>
        <v>0</v>
      </c>
    </row>
    <row r="15" spans="1:13" s="131" customFormat="1" ht="20.25">
      <c r="A15" s="149"/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2"/>
      <c r="M15" s="153"/>
    </row>
    <row r="16" spans="1:12" ht="20.25">
      <c r="A16" s="154"/>
      <c r="B16" s="154"/>
      <c r="C16" s="154"/>
      <c r="D16" s="154"/>
      <c r="E16" s="154"/>
      <c r="F16" s="155"/>
      <c r="G16" s="154"/>
      <c r="H16" s="155"/>
      <c r="I16" s="154"/>
      <c r="J16" s="279" t="s">
        <v>24</v>
      </c>
      <c r="K16" s="279"/>
      <c r="L16" s="156">
        <f>+L14*0.2</f>
        <v>0</v>
      </c>
    </row>
    <row r="17" spans="1:12" ht="20.25">
      <c r="A17" s="154"/>
      <c r="B17" s="154"/>
      <c r="C17" s="154"/>
      <c r="D17" s="154"/>
      <c r="E17" s="154"/>
      <c r="F17" s="157"/>
      <c r="G17" s="155"/>
      <c r="H17" s="157"/>
      <c r="I17" s="154"/>
      <c r="J17" s="280" t="s">
        <v>131</v>
      </c>
      <c r="K17" s="280"/>
      <c r="L17" s="158">
        <f>+L14*0.1</f>
        <v>0</v>
      </c>
    </row>
    <row r="18" spans="1:12" ht="20.25">
      <c r="A18" s="159"/>
      <c r="B18" s="159"/>
      <c r="C18" s="159"/>
      <c r="D18" s="159"/>
      <c r="E18" s="159"/>
      <c r="F18" s="159"/>
      <c r="G18" s="159"/>
      <c r="H18" s="159"/>
      <c r="I18" s="159"/>
      <c r="J18" s="281" t="s">
        <v>132</v>
      </c>
      <c r="K18" s="282"/>
      <c r="L18" s="160">
        <f>+L14*0.7</f>
        <v>0</v>
      </c>
    </row>
    <row r="19" spans="1:12" ht="20.25">
      <c r="A19" s="159"/>
      <c r="B19" s="159"/>
      <c r="C19" s="159"/>
      <c r="D19" s="159"/>
      <c r="E19" s="159"/>
      <c r="F19" s="159"/>
      <c r="G19" s="159"/>
      <c r="H19" s="159"/>
      <c r="I19" s="159"/>
      <c r="J19" s="161" t="s">
        <v>133</v>
      </c>
      <c r="K19" s="161"/>
      <c r="L19" s="162">
        <f>+L18+L17</f>
        <v>0</v>
      </c>
    </row>
    <row r="20" spans="1:12" ht="20.25">
      <c r="A20" s="159"/>
      <c r="B20" s="159"/>
      <c r="C20" s="159"/>
      <c r="D20" s="159"/>
      <c r="E20" s="159"/>
      <c r="F20" s="159"/>
      <c r="G20" s="159"/>
      <c r="H20" s="159"/>
      <c r="I20" s="159"/>
      <c r="L20" s="163" t="s">
        <v>134</v>
      </c>
    </row>
    <row r="21" ht="20.25">
      <c r="L21" s="164" t="s">
        <v>135</v>
      </c>
    </row>
  </sheetData>
  <sheetProtection/>
  <mergeCells count="13">
    <mergeCell ref="A1:L1"/>
    <mergeCell ref="A5:A9"/>
    <mergeCell ref="B5:K5"/>
    <mergeCell ref="L5:L9"/>
    <mergeCell ref="B6:B8"/>
    <mergeCell ref="I6:J6"/>
    <mergeCell ref="I7:J7"/>
    <mergeCell ref="A14:K14"/>
    <mergeCell ref="J16:K16"/>
    <mergeCell ref="J17:K17"/>
    <mergeCell ref="J18:K18"/>
    <mergeCell ref="A2:L2"/>
    <mergeCell ref="A3:L3"/>
  </mergeCells>
  <printOptions/>
  <pageMargins left="0.7" right="0.7" top="0.75" bottom="0.75" header="0.3" footer="0.3"/>
  <pageSetup fitToHeight="0" fitToWidth="1" horizontalDpi="300" verticalDpi="3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S56"/>
  <sheetViews>
    <sheetView view="pageBreakPreview" zoomScale="60" zoomScalePageLayoutView="0" workbookViewId="0" topLeftCell="A1">
      <selection activeCell="M46" sqref="M46"/>
    </sheetView>
  </sheetViews>
  <sheetFormatPr defaultColWidth="9.140625" defaultRowHeight="15"/>
  <cols>
    <col min="1" max="1" width="10.421875" style="187" bestFit="1" customWidth="1"/>
    <col min="2" max="8" width="13.7109375" style="0" bestFit="1" customWidth="1"/>
    <col min="9" max="9" width="14.140625" style="0" customWidth="1"/>
    <col min="10" max="10" width="10.8515625" style="0" customWidth="1"/>
    <col min="11" max="11" width="11.421875" style="0" customWidth="1"/>
    <col min="12" max="12" width="16.421875" style="0" customWidth="1"/>
    <col min="13" max="13" width="13.7109375" style="0" bestFit="1" customWidth="1"/>
    <col min="14" max="14" width="13.7109375" style="0" customWidth="1"/>
    <col min="15" max="15" width="16.7109375" style="179" bestFit="1" customWidth="1"/>
    <col min="16" max="16" width="13.7109375" style="179" bestFit="1" customWidth="1"/>
    <col min="17" max="17" width="8.421875" style="0" bestFit="1" customWidth="1"/>
    <col min="19" max="19" width="10.140625" style="0" bestFit="1" customWidth="1"/>
  </cols>
  <sheetData>
    <row r="1" spans="1:16" s="1" customFormat="1" ht="20.25">
      <c r="A1" s="212" t="s">
        <v>137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29"/>
      <c r="M1" s="129"/>
      <c r="N1" s="129"/>
      <c r="O1" s="129"/>
      <c r="P1" s="165"/>
    </row>
    <row r="2" spans="1:16" s="1" customFormat="1" ht="20.25">
      <c r="A2" s="293" t="s">
        <v>145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130"/>
      <c r="M2" s="130"/>
      <c r="N2" s="130"/>
      <c r="O2" s="130"/>
      <c r="P2" s="165"/>
    </row>
    <row r="3" spans="1:12" s="1" customFormat="1" ht="20.25">
      <c r="A3" s="310" t="s">
        <v>77</v>
      </c>
      <c r="B3" s="314" t="s">
        <v>138</v>
      </c>
      <c r="C3" s="315"/>
      <c r="D3" s="315"/>
      <c r="E3" s="315"/>
      <c r="F3" s="315"/>
      <c r="G3" s="315"/>
      <c r="H3" s="315"/>
      <c r="I3" s="315"/>
      <c r="J3" s="316"/>
      <c r="K3" s="313" t="s">
        <v>139</v>
      </c>
      <c r="L3" s="165"/>
    </row>
    <row r="4" spans="1:12" s="1" customFormat="1" ht="20.25">
      <c r="A4" s="311"/>
      <c r="B4" s="314" t="s">
        <v>140</v>
      </c>
      <c r="C4" s="315"/>
      <c r="D4" s="315"/>
      <c r="E4" s="315"/>
      <c r="F4" s="315"/>
      <c r="G4" s="315"/>
      <c r="H4" s="315"/>
      <c r="I4" s="315"/>
      <c r="J4" s="316"/>
      <c r="K4" s="313"/>
      <c r="L4" s="165"/>
    </row>
    <row r="5" spans="1:12" s="1" customFormat="1" ht="20.25">
      <c r="A5" s="312"/>
      <c r="B5" s="166">
        <v>2553</v>
      </c>
      <c r="C5" s="166">
        <v>2554</v>
      </c>
      <c r="D5" s="166">
        <v>2555</v>
      </c>
      <c r="E5" s="166">
        <v>2556</v>
      </c>
      <c r="F5" s="166">
        <v>2557</v>
      </c>
      <c r="G5" s="166">
        <v>2558</v>
      </c>
      <c r="H5" s="166">
        <v>2559</v>
      </c>
      <c r="I5" s="189">
        <v>2560</v>
      </c>
      <c r="J5" s="167">
        <v>2561</v>
      </c>
      <c r="K5" s="313"/>
      <c r="L5" s="165"/>
    </row>
    <row r="6" spans="1:15" s="112" customFormat="1" ht="20.25">
      <c r="A6" s="168" t="s">
        <v>65</v>
      </c>
      <c r="B6" s="169">
        <v>77709.4</v>
      </c>
      <c r="C6" s="169">
        <v>53857.1</v>
      </c>
      <c r="D6" s="169">
        <v>14389</v>
      </c>
      <c r="E6" s="169">
        <v>97506</v>
      </c>
      <c r="F6" s="169">
        <v>210872</v>
      </c>
      <c r="G6" s="169">
        <v>205552</v>
      </c>
      <c r="H6" s="170">
        <v>201694</v>
      </c>
      <c r="I6" s="170">
        <v>236246</v>
      </c>
      <c r="J6" s="170"/>
      <c r="K6" s="171"/>
      <c r="L6" s="165"/>
      <c r="O6" s="172"/>
    </row>
    <row r="7" spans="1:15" s="112" customFormat="1" ht="20.25">
      <c r="A7" s="113" t="s">
        <v>66</v>
      </c>
      <c r="B7" s="169">
        <v>270665.3</v>
      </c>
      <c r="C7" s="169">
        <v>195737.3</v>
      </c>
      <c r="D7" s="169">
        <v>39623</v>
      </c>
      <c r="E7" s="169">
        <v>341064</v>
      </c>
      <c r="F7" s="169">
        <v>398149</v>
      </c>
      <c r="G7" s="169">
        <v>436189</v>
      </c>
      <c r="H7" s="170">
        <v>399766</v>
      </c>
      <c r="I7" s="170">
        <v>248247</v>
      </c>
      <c r="J7" s="170"/>
      <c r="K7" s="171"/>
      <c r="L7" s="165"/>
      <c r="O7" s="172"/>
    </row>
    <row r="8" spans="1:15" s="112" customFormat="1" ht="20.25">
      <c r="A8" s="168" t="s">
        <v>67</v>
      </c>
      <c r="B8" s="169">
        <v>132137.32</v>
      </c>
      <c r="C8" s="169">
        <v>177138.83</v>
      </c>
      <c r="D8" s="169">
        <v>134316.61</v>
      </c>
      <c r="E8" s="169">
        <v>280296.28</v>
      </c>
      <c r="F8" s="169">
        <v>421034.59</v>
      </c>
      <c r="G8" s="169">
        <v>555944.4</v>
      </c>
      <c r="H8" s="170">
        <v>484130.68</v>
      </c>
      <c r="I8" s="170">
        <v>338293</v>
      </c>
      <c r="J8" s="170"/>
      <c r="K8" s="171"/>
      <c r="L8" s="165"/>
      <c r="O8" s="172"/>
    </row>
    <row r="9" spans="1:15" s="112" customFormat="1" ht="20.25">
      <c r="A9" s="113" t="s">
        <v>68</v>
      </c>
      <c r="B9" s="169">
        <v>313871.8</v>
      </c>
      <c r="C9" s="169">
        <v>246814</v>
      </c>
      <c r="D9" s="169">
        <v>187848.5</v>
      </c>
      <c r="E9" s="169">
        <v>518321</v>
      </c>
      <c r="F9" s="169">
        <v>583832</v>
      </c>
      <c r="G9" s="169">
        <v>520875</v>
      </c>
      <c r="H9" s="170">
        <v>372128</v>
      </c>
      <c r="I9" s="170">
        <v>370265</v>
      </c>
      <c r="J9" s="170"/>
      <c r="K9" s="171"/>
      <c r="L9" s="165"/>
      <c r="O9" s="172"/>
    </row>
    <row r="10" spans="1:15" s="112" customFormat="1" ht="20.25">
      <c r="A10" s="168" t="s">
        <v>69</v>
      </c>
      <c r="B10" s="169">
        <v>190365.4</v>
      </c>
      <c r="C10" s="169">
        <v>319038.25</v>
      </c>
      <c r="D10" s="169">
        <v>359569</v>
      </c>
      <c r="E10" s="169">
        <v>323186</v>
      </c>
      <c r="F10" s="169">
        <v>436070</v>
      </c>
      <c r="G10" s="169">
        <v>569645</v>
      </c>
      <c r="H10" s="170">
        <v>329453</v>
      </c>
      <c r="I10" s="170">
        <v>326843</v>
      </c>
      <c r="J10" s="170"/>
      <c r="K10" s="171"/>
      <c r="L10" s="165"/>
      <c r="O10" s="172"/>
    </row>
    <row r="11" spans="1:15" s="112" customFormat="1" ht="20.25">
      <c r="A11" s="113" t="s">
        <v>70</v>
      </c>
      <c r="B11" s="169">
        <v>329421.6</v>
      </c>
      <c r="C11" s="169">
        <v>201198.5</v>
      </c>
      <c r="D11" s="169">
        <v>366315.75</v>
      </c>
      <c r="E11" s="169">
        <v>287252.5</v>
      </c>
      <c r="F11" s="169">
        <v>552541</v>
      </c>
      <c r="G11" s="169">
        <v>588458.6</v>
      </c>
      <c r="H11" s="170">
        <v>429209.91</v>
      </c>
      <c r="I11" s="170">
        <v>502145</v>
      </c>
      <c r="J11" s="170"/>
      <c r="K11" s="171"/>
      <c r="L11" s="165"/>
      <c r="O11" s="172"/>
    </row>
    <row r="12" spans="1:15" s="112" customFormat="1" ht="20.25">
      <c r="A12" s="168" t="s">
        <v>71</v>
      </c>
      <c r="B12" s="169">
        <v>270394.2</v>
      </c>
      <c r="C12" s="169">
        <v>170695</v>
      </c>
      <c r="D12" s="169">
        <v>157442</v>
      </c>
      <c r="E12" s="169">
        <v>512033.5</v>
      </c>
      <c r="F12" s="169">
        <v>439348</v>
      </c>
      <c r="G12" s="169">
        <v>529027</v>
      </c>
      <c r="H12" s="170">
        <v>486891</v>
      </c>
      <c r="I12" s="170">
        <v>219565</v>
      </c>
      <c r="J12" s="170"/>
      <c r="K12" s="171"/>
      <c r="L12" s="165"/>
      <c r="O12" s="172"/>
    </row>
    <row r="13" spans="1:15" s="112" customFormat="1" ht="20.25">
      <c r="A13" s="113" t="s">
        <v>72</v>
      </c>
      <c r="B13" s="169">
        <v>312522.25</v>
      </c>
      <c r="C13" s="169">
        <v>490561.1</v>
      </c>
      <c r="D13" s="169">
        <v>481537</v>
      </c>
      <c r="E13" s="169">
        <v>617654</v>
      </c>
      <c r="F13" s="169">
        <v>335810</v>
      </c>
      <c r="G13" s="169">
        <v>310484</v>
      </c>
      <c r="H13" s="170">
        <v>226189</v>
      </c>
      <c r="I13" s="170">
        <v>590446</v>
      </c>
      <c r="J13" s="170"/>
      <c r="K13" s="171"/>
      <c r="L13" s="165"/>
      <c r="O13" s="172"/>
    </row>
    <row r="14" spans="1:15" s="112" customFormat="1" ht="20.25">
      <c r="A14" s="168" t="s">
        <v>73</v>
      </c>
      <c r="B14" s="169">
        <v>477313.14</v>
      </c>
      <c r="C14" s="169">
        <v>442170.02</v>
      </c>
      <c r="D14" s="169">
        <v>463917.62</v>
      </c>
      <c r="E14" s="169">
        <v>974134.36</v>
      </c>
      <c r="F14" s="169">
        <v>867397.5</v>
      </c>
      <c r="G14" s="169">
        <v>403683.28</v>
      </c>
      <c r="H14" s="173">
        <v>419747</v>
      </c>
      <c r="I14" s="173"/>
      <c r="J14" s="173"/>
      <c r="K14" s="171"/>
      <c r="L14" s="165"/>
      <c r="M14" s="174"/>
      <c r="O14" s="172"/>
    </row>
    <row r="15" spans="1:15" s="112" customFormat="1" ht="20.25">
      <c r="A15" s="113" t="s">
        <v>74</v>
      </c>
      <c r="B15" s="169">
        <v>266080</v>
      </c>
      <c r="C15" s="169">
        <v>230485</v>
      </c>
      <c r="D15" s="169">
        <v>365759</v>
      </c>
      <c r="E15" s="169">
        <v>613839</v>
      </c>
      <c r="F15" s="169">
        <v>659409</v>
      </c>
      <c r="G15" s="169">
        <v>640512</v>
      </c>
      <c r="H15" s="173">
        <v>392592</v>
      </c>
      <c r="I15" s="173"/>
      <c r="J15" s="173"/>
      <c r="K15" s="171"/>
      <c r="L15" s="165"/>
      <c r="M15" s="174"/>
      <c r="O15" s="172"/>
    </row>
    <row r="16" spans="1:15" s="112" customFormat="1" ht="20.25">
      <c r="A16" s="168" t="s">
        <v>75</v>
      </c>
      <c r="B16" s="169">
        <v>444873</v>
      </c>
      <c r="C16" s="169">
        <v>532513.3</v>
      </c>
      <c r="D16" s="169">
        <v>610529</v>
      </c>
      <c r="E16" s="169">
        <v>865565</v>
      </c>
      <c r="F16" s="169">
        <v>1259731</v>
      </c>
      <c r="G16" s="169">
        <v>1090767</v>
      </c>
      <c r="H16" s="173">
        <v>1061913</v>
      </c>
      <c r="I16" s="173"/>
      <c r="J16" s="173"/>
      <c r="K16" s="171"/>
      <c r="L16" s="165"/>
      <c r="M16" s="174"/>
      <c r="O16" s="172"/>
    </row>
    <row r="17" spans="1:15" s="112" customFormat="1" ht="20.25">
      <c r="A17" s="113" t="s">
        <v>76</v>
      </c>
      <c r="B17" s="169">
        <v>121874</v>
      </c>
      <c r="C17" s="169">
        <v>243169</v>
      </c>
      <c r="D17" s="169">
        <v>204139</v>
      </c>
      <c r="E17" s="169">
        <v>358861</v>
      </c>
      <c r="F17" s="169">
        <v>227391</v>
      </c>
      <c r="G17" s="169">
        <v>322289.52</v>
      </c>
      <c r="H17" s="173">
        <v>186874</v>
      </c>
      <c r="I17" s="173"/>
      <c r="J17" s="173"/>
      <c r="K17" s="171"/>
      <c r="L17" s="165"/>
      <c r="M17" s="174"/>
      <c r="O17" s="172"/>
    </row>
    <row r="18" spans="1:15" s="128" customFormat="1" ht="20.25">
      <c r="A18" s="113" t="s">
        <v>78</v>
      </c>
      <c r="B18" s="175">
        <f aca="true" t="shared" si="0" ref="B18:K18">SUM(B6:B17)</f>
        <v>3207227.4099999997</v>
      </c>
      <c r="C18" s="175">
        <f t="shared" si="0"/>
        <v>3303377.4000000004</v>
      </c>
      <c r="D18" s="175">
        <f t="shared" si="0"/>
        <v>3385385.48</v>
      </c>
      <c r="E18" s="175">
        <f t="shared" si="0"/>
        <v>5789712.640000001</v>
      </c>
      <c r="F18" s="175">
        <f t="shared" si="0"/>
        <v>6391585.09</v>
      </c>
      <c r="G18" s="175">
        <f t="shared" si="0"/>
        <v>6173426.800000001</v>
      </c>
      <c r="H18" s="175">
        <f t="shared" si="0"/>
        <v>4990587.59</v>
      </c>
      <c r="I18" s="175">
        <f t="shared" si="0"/>
        <v>2832050</v>
      </c>
      <c r="J18" s="175">
        <f t="shared" si="0"/>
        <v>0</v>
      </c>
      <c r="K18" s="175">
        <f t="shared" si="0"/>
        <v>0</v>
      </c>
      <c r="L18" s="176"/>
      <c r="O18" s="177"/>
    </row>
    <row r="20" spans="1:19" s="1" customFormat="1" ht="20.25">
      <c r="A20" s="215" t="s">
        <v>137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129"/>
      <c r="M20" s="129"/>
      <c r="N20" s="129"/>
      <c r="O20" s="129"/>
      <c r="P20" s="165"/>
      <c r="S20" s="178"/>
    </row>
    <row r="21" spans="1:16" s="1" customFormat="1" ht="20.25">
      <c r="A21" s="293" t="s">
        <v>145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130"/>
      <c r="M21" s="130"/>
      <c r="N21" s="130"/>
      <c r="O21" s="130"/>
      <c r="P21" s="165"/>
    </row>
    <row r="22" spans="1:16" ht="20.25">
      <c r="A22" s="301" t="s">
        <v>77</v>
      </c>
      <c r="B22" s="307" t="s">
        <v>141</v>
      </c>
      <c r="C22" s="308"/>
      <c r="D22" s="308"/>
      <c r="E22" s="308"/>
      <c r="F22" s="308"/>
      <c r="G22" s="308"/>
      <c r="H22" s="308"/>
      <c r="I22" s="308"/>
      <c r="J22" s="309"/>
      <c r="K22" s="304" t="s">
        <v>142</v>
      </c>
      <c r="L22" s="179"/>
      <c r="O22"/>
      <c r="P22"/>
    </row>
    <row r="23" spans="1:16" ht="20.25">
      <c r="A23" s="302"/>
      <c r="B23" s="307" t="s">
        <v>140</v>
      </c>
      <c r="C23" s="308"/>
      <c r="D23" s="308"/>
      <c r="E23" s="308"/>
      <c r="F23" s="308"/>
      <c r="G23" s="308"/>
      <c r="H23" s="308"/>
      <c r="I23" s="308"/>
      <c r="J23" s="309"/>
      <c r="K23" s="305"/>
      <c r="L23" s="179"/>
      <c r="O23"/>
      <c r="P23"/>
    </row>
    <row r="24" spans="1:16" ht="20.25">
      <c r="A24" s="303"/>
      <c r="B24" s="190">
        <v>2553</v>
      </c>
      <c r="C24" s="190">
        <v>2554</v>
      </c>
      <c r="D24" s="190">
        <v>2555</v>
      </c>
      <c r="E24" s="190">
        <v>2556</v>
      </c>
      <c r="F24" s="190">
        <v>2557</v>
      </c>
      <c r="G24" s="190">
        <v>2558</v>
      </c>
      <c r="H24" s="190">
        <v>2559</v>
      </c>
      <c r="I24" s="190">
        <v>2560</v>
      </c>
      <c r="J24" s="188">
        <v>2561</v>
      </c>
      <c r="K24" s="306"/>
      <c r="L24" s="179"/>
      <c r="O24"/>
      <c r="P24"/>
    </row>
    <row r="25" spans="1:16" ht="20.25">
      <c r="A25" s="180" t="s">
        <v>65</v>
      </c>
      <c r="B25" s="169">
        <v>124931.51</v>
      </c>
      <c r="C25" s="169">
        <f>76690.41+7892.75</f>
        <v>84583.16</v>
      </c>
      <c r="D25" s="169">
        <f>11336.02+548.25</f>
        <v>11884.27</v>
      </c>
      <c r="E25" s="169">
        <f>27630.93+5784.25</f>
        <v>33415.18</v>
      </c>
      <c r="F25" s="169">
        <f>224155.98+5984</f>
        <v>230139.98</v>
      </c>
      <c r="G25" s="169">
        <f>409705.73+3145</f>
        <v>412850.73</v>
      </c>
      <c r="H25" s="170">
        <f>146975.08+211061.21</f>
        <v>358036.29</v>
      </c>
      <c r="I25" s="170"/>
      <c r="J25" s="170"/>
      <c r="K25" s="171"/>
      <c r="L25" s="179"/>
      <c r="O25"/>
      <c r="P25"/>
    </row>
    <row r="26" spans="1:16" ht="20.25">
      <c r="A26" s="181" t="s">
        <v>66</v>
      </c>
      <c r="B26" s="169">
        <v>257392.09</v>
      </c>
      <c r="C26" s="169">
        <f>201586.91+7129.8</f>
        <v>208716.71</v>
      </c>
      <c r="D26" s="169">
        <f>106561.88+38</f>
        <v>106599.88</v>
      </c>
      <c r="E26" s="169">
        <f>319602.6+6409</f>
        <v>326011.6</v>
      </c>
      <c r="F26" s="169">
        <f>355270.27+6617.25</f>
        <v>361887.52</v>
      </c>
      <c r="G26" s="169">
        <f>413770.94+3085.5</f>
        <v>416856.44</v>
      </c>
      <c r="H26" s="170">
        <f>300852.28+156098.09</f>
        <v>456950.37</v>
      </c>
      <c r="I26" s="170"/>
      <c r="J26" s="170"/>
      <c r="K26" s="171"/>
      <c r="L26" s="179"/>
      <c r="O26"/>
      <c r="P26"/>
    </row>
    <row r="27" spans="1:16" ht="20.25">
      <c r="A27" s="180" t="s">
        <v>67</v>
      </c>
      <c r="B27" s="169">
        <v>145503.99</v>
      </c>
      <c r="C27" s="169">
        <f>165507.7+8619.55</f>
        <v>174127.25</v>
      </c>
      <c r="D27" s="169">
        <v>154685.29</v>
      </c>
      <c r="E27" s="169">
        <f>246484.09+6009.5</f>
        <v>252493.59</v>
      </c>
      <c r="F27" s="169">
        <f>389495.73+5826.75</f>
        <v>395322.48</v>
      </c>
      <c r="G27" s="169">
        <f>496374.39+2856</f>
        <v>499230.39</v>
      </c>
      <c r="H27" s="170">
        <f>370030.84+75229.36</f>
        <v>445260.2</v>
      </c>
      <c r="I27" s="170"/>
      <c r="J27" s="170"/>
      <c r="K27" s="171"/>
      <c r="L27" s="179"/>
      <c r="O27"/>
      <c r="P27"/>
    </row>
    <row r="28" spans="1:16" ht="20.25">
      <c r="A28" s="181" t="s">
        <v>68</v>
      </c>
      <c r="B28" s="169">
        <f>235437.35+48740.55</f>
        <v>284177.9</v>
      </c>
      <c r="C28" s="169">
        <f>185318.86+6840.8</f>
        <v>192159.65999999997</v>
      </c>
      <c r="D28" s="169">
        <f>182627.46+4662.25</f>
        <v>187289.71</v>
      </c>
      <c r="E28" s="169">
        <f>456630.1+6982.75</f>
        <v>463612.85</v>
      </c>
      <c r="F28" s="169">
        <f>524391.43+6268.75</f>
        <v>530660.18</v>
      </c>
      <c r="G28" s="169">
        <f>469286.81+2737</f>
        <v>472023.81</v>
      </c>
      <c r="H28" s="170">
        <f>275571.75+100934.68</f>
        <v>376506.43</v>
      </c>
      <c r="I28" s="170"/>
      <c r="J28" s="170"/>
      <c r="K28" s="171"/>
      <c r="L28" s="179"/>
      <c r="O28"/>
      <c r="P28"/>
    </row>
    <row r="29" spans="1:16" ht="20.25">
      <c r="A29" s="180" t="s">
        <v>69</v>
      </c>
      <c r="B29" s="169">
        <f>161411.61+32294.75</f>
        <v>193706.36</v>
      </c>
      <c r="C29" s="169">
        <f>302199.67+6608.75</f>
        <v>308808.42</v>
      </c>
      <c r="D29" s="169">
        <f>312883.53+5491</f>
        <v>318374.53</v>
      </c>
      <c r="E29" s="169">
        <f>310122.3+6256</f>
        <v>316378.3</v>
      </c>
      <c r="F29" s="169">
        <f>395611.38+5537.75</f>
        <v>401149.13</v>
      </c>
      <c r="G29" s="169">
        <f>530085.67+2766.75</f>
        <v>532852.42</v>
      </c>
      <c r="H29" s="170">
        <f>241744.64+74165.11</f>
        <v>315909.75</v>
      </c>
      <c r="I29" s="170"/>
      <c r="J29" s="170"/>
      <c r="K29" s="171"/>
      <c r="L29" s="179"/>
      <c r="O29"/>
      <c r="P29"/>
    </row>
    <row r="30" spans="1:16" ht="20.25">
      <c r="A30" s="181" t="s">
        <v>70</v>
      </c>
      <c r="B30" s="169">
        <f>322665.93+45375</f>
        <v>368040.93</v>
      </c>
      <c r="C30" s="169">
        <f>214292.81+6655.5</f>
        <v>220948.31</v>
      </c>
      <c r="D30" s="169">
        <f>326623+5741.75</f>
        <v>332364.75</v>
      </c>
      <c r="E30" s="169">
        <f>279533.76+6774.5</f>
        <v>286308.26</v>
      </c>
      <c r="F30" s="169">
        <f>475031.21+5622.75</f>
        <v>480653.96</v>
      </c>
      <c r="G30" s="169">
        <f>538170.14+2720</f>
        <v>540890.14</v>
      </c>
      <c r="H30" s="170">
        <f>317358.21+77290.49</f>
        <v>394648.7</v>
      </c>
      <c r="I30" s="170"/>
      <c r="J30" s="170"/>
      <c r="K30" s="171"/>
      <c r="L30" s="179"/>
      <c r="O30"/>
      <c r="P30"/>
    </row>
    <row r="31" spans="1:16" ht="20.25">
      <c r="A31" s="180" t="s">
        <v>71</v>
      </c>
      <c r="B31" s="169">
        <f>257289.88+6735.4</f>
        <v>264025.28</v>
      </c>
      <c r="C31" s="169">
        <f>165687.97+5227.5</f>
        <v>170915.47</v>
      </c>
      <c r="D31" s="169">
        <f>155721.05+4313.75</f>
        <v>160034.8</v>
      </c>
      <c r="E31" s="169">
        <f>454743.8+4713.25</f>
        <v>459457.05</v>
      </c>
      <c r="F31" s="169">
        <f>385856.02+2337.5</f>
        <v>388193.52</v>
      </c>
      <c r="G31" s="169">
        <f>467520.26+2210</f>
        <v>469730.26</v>
      </c>
      <c r="H31" s="170">
        <f>346351.8+73793.36</f>
        <v>420145.16</v>
      </c>
      <c r="I31" s="170"/>
      <c r="J31" s="170"/>
      <c r="K31" s="171"/>
      <c r="L31" s="179"/>
      <c r="O31"/>
      <c r="P31"/>
    </row>
    <row r="32" spans="1:16" ht="20.25">
      <c r="A32" s="181" t="s">
        <v>72</v>
      </c>
      <c r="B32" s="169">
        <f>228483.89-47609.46</f>
        <v>180874.43000000002</v>
      </c>
      <c r="C32" s="169">
        <f>360798.89+5618.5</f>
        <v>366417.39</v>
      </c>
      <c r="D32" s="169">
        <f>366562.7+5036.25</f>
        <v>371598.95</v>
      </c>
      <c r="E32" s="169">
        <f>502280.45+5070.25</f>
        <v>507350.7</v>
      </c>
      <c r="F32" s="169">
        <f>316007+2312</f>
        <v>318319</v>
      </c>
      <c r="G32" s="169">
        <f>323549.56+2511.75</f>
        <v>326061.31</v>
      </c>
      <c r="H32" s="170">
        <f>166320.11+78174.56</f>
        <v>244494.66999999998</v>
      </c>
      <c r="I32" s="170"/>
      <c r="J32" s="170"/>
      <c r="K32" s="171"/>
      <c r="L32" s="179"/>
      <c r="O32"/>
      <c r="P32"/>
    </row>
    <row r="33" spans="1:16" ht="20.25">
      <c r="A33" s="180" t="s">
        <v>73</v>
      </c>
      <c r="B33" s="169">
        <f>340314.89+112434.69</f>
        <v>452749.58</v>
      </c>
      <c r="C33" s="169">
        <f>345990.78+6562</f>
        <v>352552.78</v>
      </c>
      <c r="D33" s="169">
        <f>376069.63+5937.25</f>
        <v>382006.88</v>
      </c>
      <c r="E33" s="169">
        <f>809242.09+6120</f>
        <v>815362.09</v>
      </c>
      <c r="F33" s="169">
        <f>670877.85+3408.5</f>
        <v>674286.35</v>
      </c>
      <c r="G33" s="169">
        <f>347062.21+2690.25</f>
        <v>349752.46</v>
      </c>
      <c r="H33" s="173">
        <v>0</v>
      </c>
      <c r="I33" s="173"/>
      <c r="J33" s="173"/>
      <c r="K33" s="171"/>
      <c r="L33" s="179"/>
      <c r="O33"/>
      <c r="P33"/>
    </row>
    <row r="34" spans="1:16" ht="20.25">
      <c r="A34" s="181" t="s">
        <v>74</v>
      </c>
      <c r="B34" s="169">
        <f>229604.6-53125.96</f>
        <v>176478.64</v>
      </c>
      <c r="C34" s="169">
        <f>226689.63+5520.75</f>
        <v>232210.38</v>
      </c>
      <c r="D34" s="169">
        <f>334293.35+5924.5</f>
        <v>340217.85</v>
      </c>
      <c r="E34" s="169">
        <f>511485.18+5350.75</f>
        <v>516835.93</v>
      </c>
      <c r="F34" s="169">
        <f>519419.65+3213</f>
        <v>522632.65</v>
      </c>
      <c r="G34" s="169">
        <f>519101.76+1398.31</f>
        <v>520500.07</v>
      </c>
      <c r="H34" s="173">
        <v>0</v>
      </c>
      <c r="I34" s="173"/>
      <c r="J34" s="173"/>
      <c r="K34" s="171"/>
      <c r="L34" s="179"/>
      <c r="O34"/>
      <c r="P34"/>
    </row>
    <row r="35" spans="1:16" ht="20.25">
      <c r="A35" s="180" t="s">
        <v>75</v>
      </c>
      <c r="B35" s="169">
        <f>410845.22+11661.95</f>
        <v>422507.17</v>
      </c>
      <c r="C35" s="169">
        <f>470285.85+6243.25</f>
        <v>476529.1</v>
      </c>
      <c r="D35" s="169">
        <f>522479.14+5168</f>
        <v>527647.14</v>
      </c>
      <c r="E35" s="169">
        <f>750816.36+5716.25</f>
        <v>756532.61</v>
      </c>
      <c r="F35" s="169">
        <f>1085970.3+2958</f>
        <v>1088928.3</v>
      </c>
      <c r="G35" s="169">
        <f>918289.09+3136.5</f>
        <v>921425.59</v>
      </c>
      <c r="H35" s="173">
        <v>0</v>
      </c>
      <c r="I35" s="173"/>
      <c r="J35" s="173"/>
      <c r="K35" s="171"/>
      <c r="L35" s="179"/>
      <c r="O35"/>
      <c r="P35"/>
    </row>
    <row r="36" spans="1:16" ht="20.25">
      <c r="A36" s="181" t="s">
        <v>76</v>
      </c>
      <c r="B36" s="169">
        <f>143832.1+8631.4</f>
        <v>152463.5</v>
      </c>
      <c r="C36" s="169">
        <f>258290.51+6634.25</f>
        <v>264924.76</v>
      </c>
      <c r="D36" s="169">
        <f>210786.9+6319.75</f>
        <v>217106.65</v>
      </c>
      <c r="E36" s="169">
        <f>355767.25+6132.75</f>
        <v>361900</v>
      </c>
      <c r="F36" s="169">
        <f>213859.66+3417</f>
        <v>217276.66</v>
      </c>
      <c r="G36" s="169">
        <f>375437.69+3077</f>
        <v>378514.69</v>
      </c>
      <c r="H36" s="173">
        <v>0</v>
      </c>
      <c r="I36" s="173"/>
      <c r="J36" s="173"/>
      <c r="K36" s="171"/>
      <c r="L36" s="179"/>
      <c r="O36"/>
      <c r="P36"/>
    </row>
    <row r="37" spans="1:16" ht="20.25">
      <c r="A37" s="181" t="s">
        <v>78</v>
      </c>
      <c r="B37" s="182">
        <f aca="true" t="shared" si="1" ref="B37:H37">SUM(B25:B36)</f>
        <v>3022851.38</v>
      </c>
      <c r="C37" s="182">
        <f t="shared" si="1"/>
        <v>3052893.3900000006</v>
      </c>
      <c r="D37" s="182">
        <f t="shared" si="1"/>
        <v>3109810.7</v>
      </c>
      <c r="E37" s="182">
        <f t="shared" si="1"/>
        <v>5095658.16</v>
      </c>
      <c r="F37" s="182">
        <f t="shared" si="1"/>
        <v>5609449.73</v>
      </c>
      <c r="G37" s="182">
        <f t="shared" si="1"/>
        <v>5840688.3100000005</v>
      </c>
      <c r="H37" s="182">
        <f t="shared" si="1"/>
        <v>3011951.57</v>
      </c>
      <c r="I37" s="182">
        <f>SUM(I25:I36)</f>
        <v>0</v>
      </c>
      <c r="J37" s="182"/>
      <c r="K37" s="182">
        <f>SUM(K25:K36)</f>
        <v>0</v>
      </c>
      <c r="L37" s="179"/>
      <c r="O37"/>
      <c r="P37"/>
    </row>
    <row r="39" spans="1:16" s="1" customFormat="1" ht="20.25">
      <c r="A39" s="215" t="s">
        <v>137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129"/>
      <c r="M39" s="129"/>
      <c r="N39" s="129"/>
      <c r="O39" s="129"/>
      <c r="P39" s="165"/>
    </row>
    <row r="40" spans="1:16" s="1" customFormat="1" ht="20.25">
      <c r="A40" s="293" t="s">
        <v>145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130"/>
      <c r="M40" s="130"/>
      <c r="N40" s="130"/>
      <c r="O40" s="130"/>
      <c r="P40" s="165"/>
    </row>
    <row r="41" spans="1:16" ht="20.25">
      <c r="A41" s="294" t="s">
        <v>77</v>
      </c>
      <c r="B41" s="297" t="s">
        <v>143</v>
      </c>
      <c r="C41" s="298"/>
      <c r="D41" s="298"/>
      <c r="E41" s="298"/>
      <c r="F41" s="298"/>
      <c r="G41" s="298"/>
      <c r="H41" s="298"/>
      <c r="I41" s="298"/>
      <c r="J41" s="299"/>
      <c r="K41" s="300" t="s">
        <v>144</v>
      </c>
      <c r="L41" s="179"/>
      <c r="O41"/>
      <c r="P41"/>
    </row>
    <row r="42" spans="1:16" ht="20.25">
      <c r="A42" s="295"/>
      <c r="B42" s="297" t="s">
        <v>140</v>
      </c>
      <c r="C42" s="298"/>
      <c r="D42" s="298"/>
      <c r="E42" s="298"/>
      <c r="F42" s="298"/>
      <c r="G42" s="298"/>
      <c r="H42" s="298"/>
      <c r="I42" s="298"/>
      <c r="J42" s="299"/>
      <c r="K42" s="300"/>
      <c r="L42" s="179"/>
      <c r="O42"/>
      <c r="P42"/>
    </row>
    <row r="43" spans="1:16" ht="20.25">
      <c r="A43" s="296"/>
      <c r="B43" s="183">
        <v>2553</v>
      </c>
      <c r="C43" s="183">
        <v>2554</v>
      </c>
      <c r="D43" s="183">
        <v>2555</v>
      </c>
      <c r="E43" s="183">
        <v>2556</v>
      </c>
      <c r="F43" s="183">
        <v>2557</v>
      </c>
      <c r="G43" s="183">
        <v>2558</v>
      </c>
      <c r="H43" s="183">
        <v>2559</v>
      </c>
      <c r="I43" s="183">
        <v>2560</v>
      </c>
      <c r="J43" s="183">
        <v>2561</v>
      </c>
      <c r="K43" s="300"/>
      <c r="L43" s="179"/>
      <c r="O43"/>
      <c r="P43"/>
    </row>
    <row r="44" spans="1:16" ht="20.25">
      <c r="A44" s="184" t="s">
        <v>65</v>
      </c>
      <c r="B44" s="169">
        <f aca="true" t="shared" si="2" ref="B44:H51">+B6-B25</f>
        <v>-47222.11</v>
      </c>
      <c r="C44" s="169">
        <f t="shared" si="2"/>
        <v>-30726.060000000005</v>
      </c>
      <c r="D44" s="169">
        <f t="shared" si="2"/>
        <v>2504.7299999999996</v>
      </c>
      <c r="E44" s="169">
        <f t="shared" si="2"/>
        <v>64090.82</v>
      </c>
      <c r="F44" s="169">
        <f t="shared" si="2"/>
        <v>-19267.98000000001</v>
      </c>
      <c r="G44" s="169">
        <f t="shared" si="2"/>
        <v>-207298.72999999998</v>
      </c>
      <c r="H44" s="169">
        <f t="shared" si="2"/>
        <v>-156342.28999999998</v>
      </c>
      <c r="I44" s="169"/>
      <c r="J44" s="169"/>
      <c r="K44" s="171"/>
      <c r="L44" s="179"/>
      <c r="O44"/>
      <c r="P44"/>
    </row>
    <row r="45" spans="1:16" ht="20.25">
      <c r="A45" s="185" t="s">
        <v>66</v>
      </c>
      <c r="B45" s="169">
        <f t="shared" si="2"/>
        <v>13273.209999999992</v>
      </c>
      <c r="C45" s="169">
        <f t="shared" si="2"/>
        <v>-12979.410000000003</v>
      </c>
      <c r="D45" s="169">
        <f t="shared" si="2"/>
        <v>-66976.88</v>
      </c>
      <c r="E45" s="169">
        <f t="shared" si="2"/>
        <v>15052.400000000023</v>
      </c>
      <c r="F45" s="169">
        <f t="shared" si="2"/>
        <v>36261.47999999998</v>
      </c>
      <c r="G45" s="169">
        <f t="shared" si="2"/>
        <v>19332.559999999998</v>
      </c>
      <c r="H45" s="169">
        <f t="shared" si="2"/>
        <v>-57184.369999999995</v>
      </c>
      <c r="I45" s="169"/>
      <c r="J45" s="169"/>
      <c r="K45" s="171"/>
      <c r="L45" s="179"/>
      <c r="O45"/>
      <c r="P45"/>
    </row>
    <row r="46" spans="1:16" ht="20.25">
      <c r="A46" s="184" t="s">
        <v>67</v>
      </c>
      <c r="B46" s="169">
        <f t="shared" si="2"/>
        <v>-13366.669999999984</v>
      </c>
      <c r="C46" s="169">
        <f t="shared" si="2"/>
        <v>3011.579999999987</v>
      </c>
      <c r="D46" s="169">
        <f t="shared" si="2"/>
        <v>-20368.680000000022</v>
      </c>
      <c r="E46" s="169">
        <f t="shared" si="2"/>
        <v>27802.69000000003</v>
      </c>
      <c r="F46" s="169">
        <f t="shared" si="2"/>
        <v>25712.110000000044</v>
      </c>
      <c r="G46" s="169">
        <f t="shared" si="2"/>
        <v>56714.01000000001</v>
      </c>
      <c r="H46" s="169">
        <f t="shared" si="2"/>
        <v>38870.47999999998</v>
      </c>
      <c r="I46" s="169"/>
      <c r="J46" s="169"/>
      <c r="K46" s="171"/>
      <c r="L46" s="179"/>
      <c r="O46"/>
      <c r="P46"/>
    </row>
    <row r="47" spans="1:16" ht="20.25">
      <c r="A47" s="185" t="s">
        <v>68</v>
      </c>
      <c r="B47" s="169">
        <f t="shared" si="2"/>
        <v>29693.899999999965</v>
      </c>
      <c r="C47" s="169">
        <f t="shared" si="2"/>
        <v>54654.340000000026</v>
      </c>
      <c r="D47" s="169">
        <f t="shared" si="2"/>
        <v>558.7900000000081</v>
      </c>
      <c r="E47" s="169">
        <f t="shared" si="2"/>
        <v>54708.15000000002</v>
      </c>
      <c r="F47" s="169">
        <f t="shared" si="2"/>
        <v>53171.81999999995</v>
      </c>
      <c r="G47" s="169">
        <f t="shared" si="2"/>
        <v>48851.19</v>
      </c>
      <c r="H47" s="169">
        <f t="shared" si="2"/>
        <v>-4378.429999999993</v>
      </c>
      <c r="I47" s="169"/>
      <c r="J47" s="169"/>
      <c r="K47" s="171"/>
      <c r="L47" s="179"/>
      <c r="O47"/>
      <c r="P47"/>
    </row>
    <row r="48" spans="1:16" ht="20.25">
      <c r="A48" s="184" t="s">
        <v>69</v>
      </c>
      <c r="B48" s="169">
        <f t="shared" si="2"/>
        <v>-3340.959999999992</v>
      </c>
      <c r="C48" s="169">
        <f t="shared" si="2"/>
        <v>10229.830000000016</v>
      </c>
      <c r="D48" s="169">
        <f t="shared" si="2"/>
        <v>41194.46999999997</v>
      </c>
      <c r="E48" s="169">
        <f t="shared" si="2"/>
        <v>6807.700000000012</v>
      </c>
      <c r="F48" s="169">
        <f t="shared" si="2"/>
        <v>34920.869999999995</v>
      </c>
      <c r="G48" s="169">
        <f t="shared" si="2"/>
        <v>36792.57999999996</v>
      </c>
      <c r="H48" s="169">
        <f t="shared" si="2"/>
        <v>13543.25</v>
      </c>
      <c r="I48" s="169"/>
      <c r="J48" s="169"/>
      <c r="K48" s="171"/>
      <c r="L48" s="179"/>
      <c r="O48"/>
      <c r="P48"/>
    </row>
    <row r="49" spans="1:16" ht="20.25">
      <c r="A49" s="185" t="s">
        <v>70</v>
      </c>
      <c r="B49" s="169">
        <f t="shared" si="2"/>
        <v>-38619.330000000016</v>
      </c>
      <c r="C49" s="169">
        <f t="shared" si="2"/>
        <v>-19749.809999999998</v>
      </c>
      <c r="D49" s="169">
        <f t="shared" si="2"/>
        <v>33951</v>
      </c>
      <c r="E49" s="169">
        <f t="shared" si="2"/>
        <v>944.2399999999907</v>
      </c>
      <c r="F49" s="169">
        <f t="shared" si="2"/>
        <v>71887.03999999998</v>
      </c>
      <c r="G49" s="169">
        <f t="shared" si="2"/>
        <v>47568.45999999996</v>
      </c>
      <c r="H49" s="169">
        <f t="shared" si="2"/>
        <v>34561.20999999996</v>
      </c>
      <c r="I49" s="169"/>
      <c r="J49" s="169"/>
      <c r="K49" s="171"/>
      <c r="L49" s="179"/>
      <c r="O49"/>
      <c r="P49"/>
    </row>
    <row r="50" spans="1:16" ht="20.25">
      <c r="A50" s="184" t="s">
        <v>71</v>
      </c>
      <c r="B50" s="169">
        <f t="shared" si="2"/>
        <v>6368.919999999984</v>
      </c>
      <c r="C50" s="169">
        <f t="shared" si="2"/>
        <v>-220.47000000000116</v>
      </c>
      <c r="D50" s="169">
        <f t="shared" si="2"/>
        <v>-2592.7999999999884</v>
      </c>
      <c r="E50" s="169">
        <f t="shared" si="2"/>
        <v>52576.45000000001</v>
      </c>
      <c r="F50" s="169">
        <f t="shared" si="2"/>
        <v>51154.47999999998</v>
      </c>
      <c r="G50" s="169">
        <f t="shared" si="2"/>
        <v>59296.73999999999</v>
      </c>
      <c r="H50" s="169">
        <f t="shared" si="2"/>
        <v>66745.84000000003</v>
      </c>
      <c r="I50" s="169"/>
      <c r="J50" s="169"/>
      <c r="K50" s="171"/>
      <c r="L50" s="179"/>
      <c r="O50"/>
      <c r="P50"/>
    </row>
    <row r="51" spans="1:16" ht="20.25">
      <c r="A51" s="185" t="s">
        <v>72</v>
      </c>
      <c r="B51" s="169">
        <f t="shared" si="2"/>
        <v>131647.81999999998</v>
      </c>
      <c r="C51" s="169">
        <f t="shared" si="2"/>
        <v>124143.70999999996</v>
      </c>
      <c r="D51" s="169">
        <f t="shared" si="2"/>
        <v>109938.04999999999</v>
      </c>
      <c r="E51" s="169">
        <f t="shared" si="2"/>
        <v>110303.29999999999</v>
      </c>
      <c r="F51" s="169">
        <f t="shared" si="2"/>
        <v>17491</v>
      </c>
      <c r="G51" s="169">
        <f t="shared" si="2"/>
        <v>-15577.309999999998</v>
      </c>
      <c r="H51" s="169">
        <f t="shared" si="2"/>
        <v>-18305.669999999984</v>
      </c>
      <c r="I51" s="169"/>
      <c r="J51" s="169"/>
      <c r="K51" s="171"/>
      <c r="L51" s="179"/>
      <c r="O51"/>
      <c r="P51"/>
    </row>
    <row r="52" spans="1:16" ht="20.25">
      <c r="A52" s="184" t="s">
        <v>73</v>
      </c>
      <c r="B52" s="169">
        <f aca="true" t="shared" si="3" ref="B52:G55">+B14-B33</f>
        <v>24563.559999999998</v>
      </c>
      <c r="C52" s="169">
        <f t="shared" si="3"/>
        <v>89617.23999999999</v>
      </c>
      <c r="D52" s="169">
        <f t="shared" si="3"/>
        <v>81910.73999999999</v>
      </c>
      <c r="E52" s="169">
        <f t="shared" si="3"/>
        <v>158772.27000000002</v>
      </c>
      <c r="F52" s="169">
        <f t="shared" si="3"/>
        <v>193111.15000000002</v>
      </c>
      <c r="G52" s="169">
        <f t="shared" si="3"/>
        <v>53930.82000000001</v>
      </c>
      <c r="H52" s="191"/>
      <c r="I52" s="191"/>
      <c r="J52" s="191"/>
      <c r="K52" s="171"/>
      <c r="L52" s="179"/>
      <c r="O52"/>
      <c r="P52"/>
    </row>
    <row r="53" spans="1:16" ht="20.25">
      <c r="A53" s="185" t="s">
        <v>74</v>
      </c>
      <c r="B53" s="169">
        <f t="shared" si="3"/>
        <v>89601.35999999999</v>
      </c>
      <c r="C53" s="169">
        <f t="shared" si="3"/>
        <v>-1725.3800000000047</v>
      </c>
      <c r="D53" s="169">
        <f t="shared" si="3"/>
        <v>25541.150000000023</v>
      </c>
      <c r="E53" s="169">
        <f t="shared" si="3"/>
        <v>97003.07</v>
      </c>
      <c r="F53" s="169">
        <f t="shared" si="3"/>
        <v>136776.34999999998</v>
      </c>
      <c r="G53" s="169">
        <f t="shared" si="3"/>
        <v>120011.93</v>
      </c>
      <c r="H53" s="191"/>
      <c r="I53" s="191"/>
      <c r="J53" s="191"/>
      <c r="K53" s="171"/>
      <c r="L53" s="179"/>
      <c r="O53"/>
      <c r="P53"/>
    </row>
    <row r="54" spans="1:16" ht="20.25">
      <c r="A54" s="184" t="s">
        <v>75</v>
      </c>
      <c r="B54" s="169">
        <f t="shared" si="3"/>
        <v>22365.830000000016</v>
      </c>
      <c r="C54" s="169">
        <f t="shared" si="3"/>
        <v>55984.20000000007</v>
      </c>
      <c r="D54" s="169">
        <f t="shared" si="3"/>
        <v>82881.85999999999</v>
      </c>
      <c r="E54" s="169">
        <f t="shared" si="3"/>
        <v>109032.39000000001</v>
      </c>
      <c r="F54" s="169">
        <f t="shared" si="3"/>
        <v>170802.69999999995</v>
      </c>
      <c r="G54" s="169">
        <f t="shared" si="3"/>
        <v>169341.41000000003</v>
      </c>
      <c r="H54" s="191"/>
      <c r="I54" s="191"/>
      <c r="J54" s="191"/>
      <c r="K54" s="171"/>
      <c r="L54" s="179"/>
      <c r="O54"/>
      <c r="P54"/>
    </row>
    <row r="55" spans="1:16" ht="20.25">
      <c r="A55" s="185" t="s">
        <v>76</v>
      </c>
      <c r="B55" s="169">
        <f t="shared" si="3"/>
        <v>-30589.5</v>
      </c>
      <c r="C55" s="169">
        <f t="shared" si="3"/>
        <v>-21755.76000000001</v>
      </c>
      <c r="D55" s="169">
        <f t="shared" si="3"/>
        <v>-12967.649999999994</v>
      </c>
      <c r="E55" s="169">
        <f t="shared" si="3"/>
        <v>-3039</v>
      </c>
      <c r="F55" s="169">
        <f t="shared" si="3"/>
        <v>10114.339999999997</v>
      </c>
      <c r="G55" s="169">
        <f t="shared" si="3"/>
        <v>-56225.169999999984</v>
      </c>
      <c r="H55" s="191"/>
      <c r="I55" s="191"/>
      <c r="J55" s="191"/>
      <c r="K55" s="171"/>
      <c r="L55" s="179"/>
      <c r="O55"/>
      <c r="P55"/>
    </row>
    <row r="56" spans="1:16" ht="20.25">
      <c r="A56" s="185" t="s">
        <v>78</v>
      </c>
      <c r="B56" s="186">
        <f aca="true" t="shared" si="4" ref="B56:H56">SUM(B44:B55)</f>
        <v>184376.0299999999</v>
      </c>
      <c r="C56" s="186">
        <f t="shared" si="4"/>
        <v>250484.01</v>
      </c>
      <c r="D56" s="186">
        <f t="shared" si="4"/>
        <v>275574.7799999999</v>
      </c>
      <c r="E56" s="186">
        <f t="shared" si="4"/>
        <v>694054.4800000001</v>
      </c>
      <c r="F56" s="186">
        <f t="shared" si="4"/>
        <v>782135.3599999999</v>
      </c>
      <c r="G56" s="186">
        <f t="shared" si="4"/>
        <v>332738.49</v>
      </c>
      <c r="H56" s="186">
        <f t="shared" si="4"/>
        <v>-82489.97999999998</v>
      </c>
      <c r="I56" s="186">
        <f>SUM(I44:I55)</f>
        <v>0</v>
      </c>
      <c r="J56" s="186">
        <f>SUM(J44:J55)</f>
        <v>0</v>
      </c>
      <c r="K56" s="186">
        <f>SUM(K44:K55)</f>
        <v>0</v>
      </c>
      <c r="L56" s="179"/>
      <c r="O56"/>
      <c r="P56"/>
    </row>
  </sheetData>
  <sheetProtection/>
  <mergeCells count="18">
    <mergeCell ref="A22:A24"/>
    <mergeCell ref="K22:K24"/>
    <mergeCell ref="B22:J22"/>
    <mergeCell ref="B23:J23"/>
    <mergeCell ref="A3:A5"/>
    <mergeCell ref="K3:K5"/>
    <mergeCell ref="B4:J4"/>
    <mergeCell ref="B3:J3"/>
    <mergeCell ref="A40:K40"/>
    <mergeCell ref="A21:K21"/>
    <mergeCell ref="A20:K20"/>
    <mergeCell ref="A1:K1"/>
    <mergeCell ref="A2:K2"/>
    <mergeCell ref="A41:A43"/>
    <mergeCell ref="B42:J42"/>
    <mergeCell ref="B41:J41"/>
    <mergeCell ref="K41:K43"/>
    <mergeCell ref="A39:K39"/>
  </mergeCells>
  <printOptions horizontalCentered="1"/>
  <pageMargins left="0.31496062992126" right="0.31496062992126" top="1.25" bottom="0.25" header="0.31496062992126" footer="0.31496062992126"/>
  <pageSetup fitToHeight="0" fitToWidth="1" horizontalDpi="300" verticalDpi="300" orientation="landscape" scale="86" r:id="rId1"/>
  <rowBreaks count="2" manualBreakCount="2">
    <brk id="18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Aisoon Jitkasae</cp:lastModifiedBy>
  <cp:lastPrinted>2021-03-29T09:21:26Z</cp:lastPrinted>
  <dcterms:created xsi:type="dcterms:W3CDTF">2016-05-12T02:08:32Z</dcterms:created>
  <dcterms:modified xsi:type="dcterms:W3CDTF">2021-03-29T09:21:30Z</dcterms:modified>
  <cp:category/>
  <cp:version/>
  <cp:contentType/>
  <cp:contentStatus/>
</cp:coreProperties>
</file>